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10.xml" ContentType="application/vnd.openxmlformats-officedocument.spreadsheetml.comments+xml"/>
  <Override PartName="/xl/drawings/drawing15.xml" ContentType="application/vnd.openxmlformats-officedocument.drawing+xml"/>
  <Override PartName="/xl/comments11.xml" ContentType="application/vnd.openxmlformats-officedocument.spreadsheetml.comments+xml"/>
  <Override PartName="/xl/drawings/drawing16.xml" ContentType="application/vnd.openxmlformats-officedocument.drawing+xml"/>
  <Override PartName="/xl/comments12.xml" ContentType="application/vnd.openxmlformats-officedocument.spreadsheetml.comments+xml"/>
  <Override PartName="/xl/drawings/drawing17.xml" ContentType="application/vnd.openxmlformats-officedocument.drawing+xml"/>
  <Override PartName="/xl/comments13.xml" ContentType="application/vnd.openxmlformats-officedocument.spreadsheetml.comments+xml"/>
  <Override PartName="/xl/drawings/drawing18.xml" ContentType="application/vnd.openxmlformats-officedocument.drawing+xml"/>
  <Override PartName="/xl/comments14.xml" ContentType="application/vnd.openxmlformats-officedocument.spreadsheetml.comments+xml"/>
  <Override PartName="/xl/drawings/drawing19.xml" ContentType="application/vnd.openxmlformats-officedocument.drawing+xml"/>
  <Override PartName="/xl/comments1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Z:\SALIC\01 - Licitações por modalidades\01.5 - Concorrências\2024\XX - Porto Seco - Volta Redonda\5-Documentos após PGFN\"/>
    </mc:Choice>
  </mc:AlternateContent>
  <xr:revisionPtr revIDLastSave="0" documentId="8_{9C7173D9-D46B-48BA-946B-4695469AF6BF}" xr6:coauthVersionLast="47" xr6:coauthVersionMax="47" xr10:uidLastSave="{00000000-0000-0000-0000-000000000000}"/>
  <bookViews>
    <workbookView xWindow="-110" yWindow="-110" windowWidth="19420" windowHeight="10420" tabRatio="559" firstSheet="15" activeTab="15" xr2:uid="{00000000-000D-0000-FFFF-FFFF00000000}"/>
  </bookViews>
  <sheets>
    <sheet name="Metodologia" sheetId="23" r:id="rId1"/>
    <sheet name="DW" sheetId="1" r:id="rId2"/>
    <sheet name="Anexo II - Carga-demanda" sheetId="2" r:id="rId3"/>
    <sheet name="Memória-custo MO" sheetId="3" r:id="rId4"/>
    <sheet name="Memoria-equipamentoXfuncionario" sheetId="4" r:id="rId5"/>
    <sheet name="Memória-m²_trei_estaç_tel_agua" sheetId="5" r:id="rId6"/>
    <sheet name="Memória-energia elétrica" sheetId="6" r:id="rId7"/>
    <sheet name="Memória-manutenção" sheetId="7" r:id="rId8"/>
    <sheet name="Memória-combustível" sheetId="8" r:id="rId9"/>
    <sheet name="Memória-IPTU ITR" sheetId="9" r:id="rId10"/>
    <sheet name="Memória-vig_limp_consul_OUTROS" sheetId="10" r:id="rId11"/>
    <sheet name="Memória_custos e despesas" sheetId="11" r:id="rId12"/>
    <sheet name="Anexo IV - ano 1 a 10 - inicial" sheetId="12" r:id="rId13"/>
    <sheet name="Anexo IV - ano 11 a 15" sheetId="13" r:id="rId14"/>
    <sheet name="Anexo IV - ano 16 a 25" sheetId="14" r:id="rId15"/>
    <sheet name="Anexo V - ano 1 a 10 - inicial" sheetId="15" r:id="rId16"/>
    <sheet name="Anexo V - ano 11 a 15" sheetId="16" r:id="rId17"/>
    <sheet name="Anexo V - ano 16 a 25" sheetId="17" r:id="rId18"/>
    <sheet name="Anexo VI - custos e despesas" sheetId="18" r:id="rId19"/>
    <sheet name="Anexo VII - fluxo de caixa" sheetId="19" r:id="rId20"/>
    <sheet name="Anexo VIII - tarifas" sheetId="20" r:id="rId21"/>
    <sheet name="comparativo tarifas" sheetId="21" r:id="rId22"/>
  </sheets>
  <definedNames>
    <definedName name="__DdeLink__32763_3596704383" localSheetId="0">Metodologia!$A$79</definedName>
    <definedName name="_ftn1" localSheetId="0">Metodologia!#REF!</definedName>
    <definedName name="_ftnref1" localSheetId="0">Metodologia!$A$65</definedName>
    <definedName name="Excel_BuiltIn__FilterDatabase">'Anexo VI - custos e despesas'!$C$10:$C$60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13" i="19" l="1"/>
  <c r="E184" i="15"/>
  <c r="E183" i="15"/>
  <c r="E182" i="15"/>
  <c r="E181" i="15"/>
  <c r="E180" i="15"/>
  <c r="E179" i="15"/>
  <c r="E178" i="15"/>
  <c r="E177" i="15"/>
  <c r="E176" i="15"/>
  <c r="E175" i="15"/>
  <c r="E174" i="15"/>
  <c r="E90" i="16"/>
  <c r="G162" i="15"/>
  <c r="F162" i="15"/>
  <c r="F161" i="15"/>
  <c r="G158" i="15"/>
  <c r="F158" i="15"/>
  <c r="F56" i="15"/>
  <c r="H109" i="16"/>
  <c r="G31" i="15"/>
  <c r="G12" i="17"/>
  <c r="G12" i="16"/>
  <c r="G12" i="15"/>
  <c r="F109" i="15"/>
  <c r="H112" i="15"/>
  <c r="H111" i="15"/>
  <c r="F90" i="17"/>
  <c r="F90" i="16"/>
  <c r="F98" i="15"/>
  <c r="F97" i="15"/>
  <c r="F95" i="15"/>
  <c r="F94" i="15"/>
  <c r="F93" i="15"/>
  <c r="F92" i="15"/>
  <c r="F91" i="15"/>
  <c r="F90" i="15"/>
  <c r="F89" i="15"/>
  <c r="F88" i="15"/>
  <c r="F87" i="15"/>
  <c r="F86" i="15"/>
  <c r="F85" i="15"/>
  <c r="F84" i="15"/>
  <c r="F83" i="15"/>
  <c r="F82" i="15"/>
  <c r="F81" i="15"/>
  <c r="F80" i="15"/>
  <c r="H19" i="1"/>
  <c r="F125" i="15"/>
  <c r="G124" i="16" s="1"/>
  <c r="F123" i="15"/>
  <c r="G123" i="15" s="1"/>
  <c r="H123" i="15" s="1"/>
  <c r="F124" i="15"/>
  <c r="G124" i="15" s="1"/>
  <c r="H124" i="15" s="1"/>
  <c r="F122" i="15"/>
  <c r="F121" i="15"/>
  <c r="G121" i="15" s="1"/>
  <c r="H121" i="15" s="1"/>
  <c r="H109" i="15"/>
  <c r="F57" i="15"/>
  <c r="G57" i="17" s="1"/>
  <c r="F58" i="15"/>
  <c r="F59" i="15"/>
  <c r="G59" i="17" s="1"/>
  <c r="F60" i="15"/>
  <c r="G60" i="16" s="1"/>
  <c r="F61" i="15"/>
  <c r="G61" i="17" s="1"/>
  <c r="F62" i="15"/>
  <c r="G62" i="16" s="1"/>
  <c r="F63" i="15"/>
  <c r="G63" i="16" s="1"/>
  <c r="F64" i="15"/>
  <c r="G64" i="16" s="1"/>
  <c r="F65" i="15"/>
  <c r="G65" i="17" s="1"/>
  <c r="F66" i="15"/>
  <c r="F67" i="15"/>
  <c r="G67" i="15" s="1"/>
  <c r="H67" i="15" s="1"/>
  <c r="F68" i="15"/>
  <c r="G68" i="16" s="1"/>
  <c r="F69" i="15"/>
  <c r="G69" i="16" s="1"/>
  <c r="F70" i="15"/>
  <c r="G70" i="15" s="1"/>
  <c r="H70" i="15" s="1"/>
  <c r="E56" i="15"/>
  <c r="D18" i="20"/>
  <c r="H15" i="2"/>
  <c r="H14" i="2"/>
  <c r="E49" i="3"/>
  <c r="E47" i="3"/>
  <c r="E46" i="3"/>
  <c r="H47" i="3"/>
  <c r="H46" i="3"/>
  <c r="I49" i="3"/>
  <c r="I47" i="3"/>
  <c r="I46" i="3"/>
  <c r="AD49" i="3"/>
  <c r="AD47" i="3"/>
  <c r="AD46" i="3"/>
  <c r="AB49" i="3"/>
  <c r="AB47" i="3"/>
  <c r="AB46" i="3"/>
  <c r="AC47" i="3"/>
  <c r="AC46" i="3"/>
  <c r="AG49" i="3"/>
  <c r="AG47" i="3"/>
  <c r="AG46" i="3"/>
  <c r="AE49" i="3"/>
  <c r="AE47" i="3"/>
  <c r="AE46" i="3"/>
  <c r="AP49" i="3"/>
  <c r="AN49" i="3"/>
  <c r="AN47" i="3"/>
  <c r="AN46" i="3"/>
  <c r="AP47" i="3"/>
  <c r="AP46" i="3"/>
  <c r="AV49" i="3"/>
  <c r="AS49" i="3"/>
  <c r="AS47" i="3"/>
  <c r="AS46" i="3"/>
  <c r="AU47" i="3"/>
  <c r="AR47" i="3"/>
  <c r="BW46" i="3"/>
  <c r="BU49" i="3"/>
  <c r="BU47" i="3"/>
  <c r="BU46" i="3"/>
  <c r="BV47" i="3"/>
  <c r="BV46" i="3"/>
  <c r="BW49" i="3"/>
  <c r="BW47" i="3"/>
  <c r="BX49" i="3"/>
  <c r="BX47" i="3"/>
  <c r="BX46" i="3"/>
  <c r="BZ49" i="3"/>
  <c r="BZ47" i="3"/>
  <c r="BZ46" i="3"/>
  <c r="CA46" i="3"/>
  <c r="Y46" i="3"/>
  <c r="V46" i="3"/>
  <c r="S46" i="3"/>
  <c r="P46" i="3"/>
  <c r="M46" i="3"/>
  <c r="J46" i="3"/>
  <c r="G46" i="3"/>
  <c r="D46" i="3"/>
  <c r="C29" i="19"/>
  <c r="AB13" i="18"/>
  <c r="AB13" i="11"/>
  <c r="AB12" i="11"/>
  <c r="AA13" i="18"/>
  <c r="Z13" i="18"/>
  <c r="Y13" i="18"/>
  <c r="X13" i="18"/>
  <c r="X12" i="18"/>
  <c r="W13" i="18"/>
  <c r="W12" i="18"/>
  <c r="V13" i="18"/>
  <c r="V12" i="18"/>
  <c r="U13" i="18"/>
  <c r="U12" i="18"/>
  <c r="T13" i="18"/>
  <c r="T12" i="18"/>
  <c r="S13" i="18"/>
  <c r="S12" i="18"/>
  <c r="R13" i="18"/>
  <c r="R12" i="18"/>
  <c r="Q13" i="18"/>
  <c r="Q12" i="18"/>
  <c r="P13" i="18"/>
  <c r="P12" i="18"/>
  <c r="O13" i="18"/>
  <c r="N13" i="18"/>
  <c r="M13" i="18"/>
  <c r="M12" i="18"/>
  <c r="L13" i="18"/>
  <c r="L12" i="18"/>
  <c r="K13" i="18"/>
  <c r="K12" i="18"/>
  <c r="J13" i="18"/>
  <c r="I13" i="18"/>
  <c r="I12" i="18"/>
  <c r="H13" i="18"/>
  <c r="H12" i="18"/>
  <c r="G13" i="18"/>
  <c r="G12" i="18"/>
  <c r="F13" i="18"/>
  <c r="F12" i="18"/>
  <c r="E13" i="18"/>
  <c r="E12" i="18"/>
  <c r="D13" i="18"/>
  <c r="D46" i="14"/>
  <c r="D45" i="14"/>
  <c r="D36" i="14"/>
  <c r="D46" i="13"/>
  <c r="D45" i="13"/>
  <c r="D32" i="13"/>
  <c r="D69" i="12"/>
  <c r="R16" i="11"/>
  <c r="S16" i="11" s="1"/>
  <c r="T16" i="11" s="1"/>
  <c r="U16" i="11" s="1"/>
  <c r="V16" i="11" s="1"/>
  <c r="W16" i="11" s="1"/>
  <c r="X16" i="11" s="1"/>
  <c r="Y16" i="11" s="1"/>
  <c r="Z16" i="11" s="1"/>
  <c r="AA16" i="11" s="1"/>
  <c r="R18" i="11"/>
  <c r="S18" i="11" s="1"/>
  <c r="T18" i="11" s="1"/>
  <c r="U18" i="11" s="1"/>
  <c r="V18" i="11" s="1"/>
  <c r="W18" i="11" s="1"/>
  <c r="X18" i="11" s="1"/>
  <c r="Y18" i="11" s="1"/>
  <c r="Z18" i="11" s="1"/>
  <c r="AA18" i="11" s="1"/>
  <c r="R27" i="11"/>
  <c r="S27" i="11" s="1"/>
  <c r="T27" i="11" s="1"/>
  <c r="U27" i="11" s="1"/>
  <c r="V27" i="11" s="1"/>
  <c r="W27" i="11" s="1"/>
  <c r="X27" i="11" s="1"/>
  <c r="Y27" i="11" s="1"/>
  <c r="Z27" i="11" s="1"/>
  <c r="AA27" i="11" s="1"/>
  <c r="M33" i="11"/>
  <c r="N33" i="11" s="1"/>
  <c r="O33" i="11" s="1"/>
  <c r="P33" i="11" s="1"/>
  <c r="Q33" i="11" s="1"/>
  <c r="R33" i="11" s="1"/>
  <c r="S33" i="11" s="1"/>
  <c r="T33" i="11" s="1"/>
  <c r="U33" i="11" s="1"/>
  <c r="V33" i="11" s="1"/>
  <c r="W33" i="11" s="1"/>
  <c r="X33" i="11" s="1"/>
  <c r="Y33" i="11" s="1"/>
  <c r="Z33" i="11" s="1"/>
  <c r="AA33" i="11" s="1"/>
  <c r="M32" i="11"/>
  <c r="N32" i="11" s="1"/>
  <c r="O32" i="11" s="1"/>
  <c r="P32" i="11" s="1"/>
  <c r="Q32" i="11" s="1"/>
  <c r="R32" i="11" s="1"/>
  <c r="S32" i="11" s="1"/>
  <c r="T32" i="11" s="1"/>
  <c r="U32" i="11" s="1"/>
  <c r="V32" i="11" s="1"/>
  <c r="W32" i="11" s="1"/>
  <c r="X32" i="11" s="1"/>
  <c r="Y32" i="11" s="1"/>
  <c r="Z32" i="11" s="1"/>
  <c r="AA32" i="11" s="1"/>
  <c r="M29" i="11"/>
  <c r="N29" i="11" s="1"/>
  <c r="O29" i="11" s="1"/>
  <c r="P29" i="11" s="1"/>
  <c r="Q29" i="11" s="1"/>
  <c r="R29" i="11" s="1"/>
  <c r="S29" i="11" s="1"/>
  <c r="T29" i="11" s="1"/>
  <c r="U29" i="11" s="1"/>
  <c r="V29" i="11" s="1"/>
  <c r="W29" i="11" s="1"/>
  <c r="X29" i="11" s="1"/>
  <c r="Y29" i="11" s="1"/>
  <c r="Z29" i="11" s="1"/>
  <c r="AA29" i="11" s="1"/>
  <c r="M27" i="11"/>
  <c r="N27" i="11" s="1"/>
  <c r="O27" i="11" s="1"/>
  <c r="P27" i="11" s="1"/>
  <c r="Q27" i="11" s="1"/>
  <c r="M26" i="11"/>
  <c r="N26" i="11" s="1"/>
  <c r="O26" i="11" s="1"/>
  <c r="P26" i="11" s="1"/>
  <c r="Q26" i="11" s="1"/>
  <c r="R26" i="11" s="1"/>
  <c r="S26" i="11" s="1"/>
  <c r="T26" i="11" s="1"/>
  <c r="U26" i="11" s="1"/>
  <c r="V26" i="11" s="1"/>
  <c r="W26" i="11" s="1"/>
  <c r="X26" i="11" s="1"/>
  <c r="Y26" i="11" s="1"/>
  <c r="Z26" i="11" s="1"/>
  <c r="AA26" i="11" s="1"/>
  <c r="M25" i="11"/>
  <c r="N25" i="11" s="1"/>
  <c r="O25" i="11" s="1"/>
  <c r="P25" i="11" s="1"/>
  <c r="Q25" i="11" s="1"/>
  <c r="R25" i="11" s="1"/>
  <c r="S25" i="11" s="1"/>
  <c r="T25" i="11" s="1"/>
  <c r="U25" i="11" s="1"/>
  <c r="V25" i="11" s="1"/>
  <c r="W25" i="11" s="1"/>
  <c r="X25" i="11" s="1"/>
  <c r="Y25" i="11" s="1"/>
  <c r="Z25" i="11" s="1"/>
  <c r="AA25" i="11" s="1"/>
  <c r="M24" i="11"/>
  <c r="N24" i="11" s="1"/>
  <c r="O24" i="11" s="1"/>
  <c r="P24" i="11" s="1"/>
  <c r="Q24" i="11" s="1"/>
  <c r="R24" i="11" s="1"/>
  <c r="S24" i="11" s="1"/>
  <c r="T24" i="11" s="1"/>
  <c r="U24" i="11" s="1"/>
  <c r="V24" i="11" s="1"/>
  <c r="W24" i="11" s="1"/>
  <c r="X24" i="11" s="1"/>
  <c r="Y24" i="11" s="1"/>
  <c r="Z24" i="11" s="1"/>
  <c r="AA24" i="11" s="1"/>
  <c r="M23" i="11"/>
  <c r="N23" i="11" s="1"/>
  <c r="O23" i="11" s="1"/>
  <c r="P23" i="11" s="1"/>
  <c r="Q23" i="11" s="1"/>
  <c r="R23" i="11" s="1"/>
  <c r="S23" i="11" s="1"/>
  <c r="T23" i="11" s="1"/>
  <c r="U23" i="11" s="1"/>
  <c r="V23" i="11" s="1"/>
  <c r="W23" i="11" s="1"/>
  <c r="X23" i="11" s="1"/>
  <c r="Y23" i="11" s="1"/>
  <c r="Z23" i="11" s="1"/>
  <c r="AA23" i="11" s="1"/>
  <c r="M19" i="11"/>
  <c r="N19" i="11" s="1"/>
  <c r="O19" i="11" s="1"/>
  <c r="P19" i="11" s="1"/>
  <c r="Q19" i="11" s="1"/>
  <c r="R19" i="11" s="1"/>
  <c r="S19" i="11" s="1"/>
  <c r="T19" i="11" s="1"/>
  <c r="U19" i="11" s="1"/>
  <c r="V19" i="11" s="1"/>
  <c r="W19" i="11" s="1"/>
  <c r="X19" i="11" s="1"/>
  <c r="Y19" i="11" s="1"/>
  <c r="Z19" i="11" s="1"/>
  <c r="AA19" i="11" s="1"/>
  <c r="M18" i="11"/>
  <c r="N18" i="11" s="1"/>
  <c r="O18" i="11" s="1"/>
  <c r="P18" i="11" s="1"/>
  <c r="Q18" i="11" s="1"/>
  <c r="M16" i="11"/>
  <c r="N16" i="11" s="1"/>
  <c r="O16" i="11" s="1"/>
  <c r="P16" i="11" s="1"/>
  <c r="Q16" i="11" s="1"/>
  <c r="H19" i="11"/>
  <c r="I19" i="11" s="1"/>
  <c r="J19" i="11" s="1"/>
  <c r="K19" i="11" s="1"/>
  <c r="L19" i="11" s="1"/>
  <c r="H24" i="11"/>
  <c r="I24" i="11" s="1"/>
  <c r="J24" i="11" s="1"/>
  <c r="K24" i="11" s="1"/>
  <c r="L24" i="11" s="1"/>
  <c r="H23" i="11"/>
  <c r="I23" i="11" s="1"/>
  <c r="J23" i="11" s="1"/>
  <c r="K23" i="11" s="1"/>
  <c r="L23" i="11" s="1"/>
  <c r="H25" i="11"/>
  <c r="I25" i="11" s="1"/>
  <c r="J25" i="11" s="1"/>
  <c r="K25" i="11" s="1"/>
  <c r="L25" i="11" s="1"/>
  <c r="H26" i="11"/>
  <c r="I26" i="11" s="1"/>
  <c r="J26" i="11" s="1"/>
  <c r="K26" i="11" s="1"/>
  <c r="L26" i="11" s="1"/>
  <c r="H29" i="11"/>
  <c r="I29" i="11" s="1"/>
  <c r="J29" i="11" s="1"/>
  <c r="K29" i="11" s="1"/>
  <c r="L29" i="11" s="1"/>
  <c r="H32" i="11"/>
  <c r="I32" i="11" s="1"/>
  <c r="J32" i="11" s="1"/>
  <c r="K32" i="11" s="1"/>
  <c r="L32" i="11" s="1"/>
  <c r="H33" i="11"/>
  <c r="I33" i="11" s="1"/>
  <c r="J33" i="11" s="1"/>
  <c r="K33" i="11" s="1"/>
  <c r="L33" i="11" s="1"/>
  <c r="E16" i="11"/>
  <c r="F16" i="11" s="1"/>
  <c r="G16" i="11" s="1"/>
  <c r="H16" i="11" s="1"/>
  <c r="I16" i="11" s="1"/>
  <c r="J16" i="11" s="1"/>
  <c r="K16" i="11" s="1"/>
  <c r="L16" i="11" s="1"/>
  <c r="E18" i="11"/>
  <c r="F18" i="11" s="1"/>
  <c r="G18" i="11" s="1"/>
  <c r="H18" i="11" s="1"/>
  <c r="I18" i="11" s="1"/>
  <c r="J18" i="11" s="1"/>
  <c r="K18" i="11" s="1"/>
  <c r="L18" i="11" s="1"/>
  <c r="E19" i="11"/>
  <c r="F19" i="11" s="1"/>
  <c r="G19" i="11" s="1"/>
  <c r="E23" i="11"/>
  <c r="F23" i="11" s="1"/>
  <c r="G23" i="11" s="1"/>
  <c r="E27" i="11"/>
  <c r="F27" i="11" s="1"/>
  <c r="G27" i="11" s="1"/>
  <c r="H27" i="11" s="1"/>
  <c r="I27" i="11" s="1"/>
  <c r="J27" i="11" s="1"/>
  <c r="K27" i="11" s="1"/>
  <c r="L27" i="11" s="1"/>
  <c r="E29" i="11"/>
  <c r="F29" i="11" s="1"/>
  <c r="G29" i="11" s="1"/>
  <c r="E32" i="11"/>
  <c r="F32" i="11" s="1"/>
  <c r="G32" i="11" s="1"/>
  <c r="D33" i="11"/>
  <c r="D32" i="11"/>
  <c r="D29" i="11"/>
  <c r="D27" i="11"/>
  <c r="D23" i="11"/>
  <c r="D19" i="11"/>
  <c r="D18" i="11"/>
  <c r="D16" i="11"/>
  <c r="E33" i="11"/>
  <c r="F33" i="11" s="1"/>
  <c r="G33" i="11" s="1"/>
  <c r="C33" i="11"/>
  <c r="AB33" i="11" s="1"/>
  <c r="C26" i="11"/>
  <c r="C25" i="11"/>
  <c r="C24" i="11"/>
  <c r="M12" i="11"/>
  <c r="K12" i="11"/>
  <c r="G12" i="11"/>
  <c r="F12" i="11"/>
  <c r="E12" i="11"/>
  <c r="D12" i="11"/>
  <c r="G15" i="10"/>
  <c r="G14" i="10"/>
  <c r="G13" i="10"/>
  <c r="F15" i="10"/>
  <c r="F14" i="10"/>
  <c r="F13" i="10"/>
  <c r="F13" i="9"/>
  <c r="C51" i="8"/>
  <c r="C55" i="8"/>
  <c r="C52" i="8"/>
  <c r="E11" i="8"/>
  <c r="E12" i="8"/>
  <c r="E17" i="8"/>
  <c r="E23" i="8"/>
  <c r="E30" i="8"/>
  <c r="E34" i="8"/>
  <c r="D29" i="8"/>
  <c r="D34" i="8"/>
  <c r="C34" i="8"/>
  <c r="C31" i="8"/>
  <c r="C29" i="8"/>
  <c r="C28" i="8"/>
  <c r="C27" i="8"/>
  <c r="C26" i="8"/>
  <c r="C25" i="8"/>
  <c r="C19" i="8"/>
  <c r="C15" i="8"/>
  <c r="C14" i="8"/>
  <c r="C13" i="8"/>
  <c r="C12" i="8"/>
  <c r="C11" i="8"/>
  <c r="AB64" i="5"/>
  <c r="AB59" i="5"/>
  <c r="AA59" i="5"/>
  <c r="AB50" i="5"/>
  <c r="AA50" i="5"/>
  <c r="AB47" i="5"/>
  <c r="AA47" i="5"/>
  <c r="AB37" i="5"/>
  <c r="AA37" i="5"/>
  <c r="AB33" i="5"/>
  <c r="AA33" i="5"/>
  <c r="AB29" i="5"/>
  <c r="AA29" i="5"/>
  <c r="Z29" i="5"/>
  <c r="Y29" i="5"/>
  <c r="Z33" i="5"/>
  <c r="Y33" i="5"/>
  <c r="Y37" i="5"/>
  <c r="Z47" i="5"/>
  <c r="Y47" i="5"/>
  <c r="Z50" i="5"/>
  <c r="Y50" i="5"/>
  <c r="Z59" i="5"/>
  <c r="Y59" i="5"/>
  <c r="X59" i="5"/>
  <c r="W59" i="5"/>
  <c r="W57" i="5"/>
  <c r="X50" i="5"/>
  <c r="W50" i="5"/>
  <c r="W47" i="5"/>
  <c r="X47" i="5"/>
  <c r="X37" i="5"/>
  <c r="W37" i="5"/>
  <c r="X33" i="5"/>
  <c r="W33" i="5"/>
  <c r="X29" i="5"/>
  <c r="W29" i="5"/>
  <c r="V29" i="5"/>
  <c r="U29" i="5"/>
  <c r="V33" i="5"/>
  <c r="U33" i="5"/>
  <c r="V37" i="5"/>
  <c r="U37" i="5"/>
  <c r="V47" i="5"/>
  <c r="U47" i="5"/>
  <c r="V50" i="5"/>
  <c r="U50" i="5"/>
  <c r="V59" i="5"/>
  <c r="U59" i="5"/>
  <c r="S59" i="5"/>
  <c r="T59" i="5"/>
  <c r="S50" i="5"/>
  <c r="T50" i="5"/>
  <c r="S47" i="5"/>
  <c r="T47" i="5"/>
  <c r="T37" i="5"/>
  <c r="T33" i="5"/>
  <c r="S33" i="5"/>
  <c r="S29" i="5"/>
  <c r="T29" i="5"/>
  <c r="R29" i="5"/>
  <c r="R33" i="5"/>
  <c r="R37" i="5"/>
  <c r="R47" i="5"/>
  <c r="R50" i="5"/>
  <c r="R59" i="5"/>
  <c r="P59" i="5"/>
  <c r="Q59" i="5"/>
  <c r="P57" i="5"/>
  <c r="Q50" i="5"/>
  <c r="P50" i="5"/>
  <c r="P47" i="5"/>
  <c r="Q47" i="5"/>
  <c r="Q37" i="5"/>
  <c r="P37" i="5"/>
  <c r="P33" i="5"/>
  <c r="Q33" i="5"/>
  <c r="Q29" i="5"/>
  <c r="P29" i="5"/>
  <c r="O59" i="5"/>
  <c r="N59" i="5"/>
  <c r="O50" i="5"/>
  <c r="N47" i="5"/>
  <c r="O37" i="5"/>
  <c r="N37" i="5"/>
  <c r="O33" i="5"/>
  <c r="N33" i="5"/>
  <c r="O29" i="5"/>
  <c r="N29" i="5"/>
  <c r="N50" i="5"/>
  <c r="M29" i="5"/>
  <c r="M33" i="5"/>
  <c r="M47" i="5"/>
  <c r="M50" i="5"/>
  <c r="M59" i="5"/>
  <c r="L59" i="5"/>
  <c r="L50" i="5"/>
  <c r="L47" i="5"/>
  <c r="L33" i="5"/>
  <c r="L29" i="5"/>
  <c r="K29" i="5"/>
  <c r="K33" i="5"/>
  <c r="K37" i="5"/>
  <c r="K47" i="5"/>
  <c r="K50" i="5"/>
  <c r="K59" i="5"/>
  <c r="J59" i="5"/>
  <c r="J50" i="5"/>
  <c r="J47" i="5"/>
  <c r="J37" i="5"/>
  <c r="J33" i="5"/>
  <c r="J29" i="5"/>
  <c r="I29" i="5"/>
  <c r="I33" i="5"/>
  <c r="I37" i="5"/>
  <c r="I47" i="5"/>
  <c r="I50" i="5"/>
  <c r="I57" i="5"/>
  <c r="I59" i="5"/>
  <c r="H59" i="5"/>
  <c r="H50" i="5"/>
  <c r="H47" i="5"/>
  <c r="H37" i="5"/>
  <c r="H33" i="5"/>
  <c r="H29" i="5"/>
  <c r="K46" i="5"/>
  <c r="K45" i="5"/>
  <c r="K43" i="5"/>
  <c r="K42" i="5"/>
  <c r="K41" i="5"/>
  <c r="K28" i="5"/>
  <c r="K26" i="5"/>
  <c r="K24" i="5"/>
  <c r="K23" i="5"/>
  <c r="K22" i="5"/>
  <c r="K21" i="5"/>
  <c r="K19" i="5"/>
  <c r="J46" i="5"/>
  <c r="J45" i="5"/>
  <c r="J43" i="5"/>
  <c r="J42" i="5"/>
  <c r="J41" i="5"/>
  <c r="J32" i="5"/>
  <c r="J13" i="5"/>
  <c r="CA45" i="3"/>
  <c r="CA44" i="3"/>
  <c r="CA43" i="3"/>
  <c r="CA42" i="3"/>
  <c r="CA41" i="3"/>
  <c r="CA40" i="3"/>
  <c r="CA39" i="3"/>
  <c r="CA38" i="3"/>
  <c r="BZ45" i="3"/>
  <c r="BZ44" i="3"/>
  <c r="BZ43" i="3"/>
  <c r="BZ42" i="3"/>
  <c r="BZ41" i="3"/>
  <c r="BZ40" i="3"/>
  <c r="BZ39" i="3"/>
  <c r="BZ38" i="3"/>
  <c r="CA35" i="3"/>
  <c r="BZ35" i="3"/>
  <c r="CA34" i="3"/>
  <c r="CA33" i="3"/>
  <c r="BZ34" i="3"/>
  <c r="BZ33" i="3"/>
  <c r="CA30" i="3"/>
  <c r="CA29" i="3"/>
  <c r="BZ30" i="3"/>
  <c r="BZ29" i="3"/>
  <c r="BZ26" i="3"/>
  <c r="CA26" i="3"/>
  <c r="CA25" i="3"/>
  <c r="CA24" i="3"/>
  <c r="CA23" i="3"/>
  <c r="CA22" i="3"/>
  <c r="CA21" i="3"/>
  <c r="CA20" i="3"/>
  <c r="CA19" i="3"/>
  <c r="CA18" i="3"/>
  <c r="CA17" i="3"/>
  <c r="CA16" i="3"/>
  <c r="CA15" i="3"/>
  <c r="CA14" i="3"/>
  <c r="CA13" i="3"/>
  <c r="CA12" i="3"/>
  <c r="CA11" i="3"/>
  <c r="CA10" i="3"/>
  <c r="BZ25" i="3"/>
  <c r="BZ24" i="3"/>
  <c r="BZ23" i="3"/>
  <c r="BZ22" i="3"/>
  <c r="BZ21" i="3"/>
  <c r="BZ19" i="3"/>
  <c r="BZ18" i="3"/>
  <c r="BZ17" i="3"/>
  <c r="BZ16" i="3"/>
  <c r="BZ15" i="3"/>
  <c r="BZ14" i="3"/>
  <c r="BZ13" i="3"/>
  <c r="BZ12" i="3"/>
  <c r="BZ11" i="3"/>
  <c r="BZ10" i="3"/>
  <c r="H26" i="3"/>
  <c r="H25" i="3"/>
  <c r="H23" i="3"/>
  <c r="H21" i="3"/>
  <c r="H20" i="3"/>
  <c r="H19" i="3"/>
  <c r="H18" i="3"/>
  <c r="H16" i="3"/>
  <c r="E43" i="3"/>
  <c r="E42" i="3"/>
  <c r="E41" i="3"/>
  <c r="E40" i="3"/>
  <c r="E35" i="3"/>
  <c r="E30" i="3"/>
  <c r="E26" i="3"/>
  <c r="E25" i="3"/>
  <c r="E23" i="3"/>
  <c r="E21" i="3"/>
  <c r="E20" i="3"/>
  <c r="E19" i="3"/>
  <c r="E18" i="3"/>
  <c r="E16" i="3"/>
  <c r="E11" i="3"/>
  <c r="E10" i="3"/>
  <c r="C45" i="3"/>
  <c r="C44" i="3"/>
  <c r="C43" i="3"/>
  <c r="C42" i="3"/>
  <c r="C41" i="3"/>
  <c r="C40" i="3"/>
  <c r="C39" i="3"/>
  <c r="C38" i="3"/>
  <c r="C34" i="3"/>
  <c r="C33" i="3"/>
  <c r="C29" i="3"/>
  <c r="C25" i="3"/>
  <c r="C24" i="3"/>
  <c r="C23" i="3"/>
  <c r="C22" i="3"/>
  <c r="C21" i="3"/>
  <c r="C20" i="3"/>
  <c r="C19" i="3"/>
  <c r="C18" i="3"/>
  <c r="C17" i="3"/>
  <c r="C16" i="3"/>
  <c r="C15" i="3"/>
  <c r="C14" i="3"/>
  <c r="C13" i="3"/>
  <c r="C12" i="3"/>
  <c r="C11" i="3"/>
  <c r="C10" i="3"/>
  <c r="F61" i="3"/>
  <c r="C38" i="12"/>
  <c r="B27" i="3"/>
  <c r="F144" i="15"/>
  <c r="G144" i="15" s="1"/>
  <c r="G126" i="15"/>
  <c r="H126" i="15" s="1"/>
  <c r="G125" i="15"/>
  <c r="H125" i="15" s="1"/>
  <c r="G122" i="15"/>
  <c r="F111" i="15"/>
  <c r="G43" i="16"/>
  <c r="C40" i="16"/>
  <c r="G20" i="15"/>
  <c r="G19" i="15"/>
  <c r="G127" i="15"/>
  <c r="H127" i="15" s="1"/>
  <c r="G126" i="17"/>
  <c r="G125" i="16"/>
  <c r="G123" i="16"/>
  <c r="G122" i="16"/>
  <c r="G121" i="16"/>
  <c r="J17" i="7"/>
  <c r="J13" i="7"/>
  <c r="J11" i="7"/>
  <c r="G18" i="15"/>
  <c r="H18" i="15" s="1"/>
  <c r="G17" i="15"/>
  <c r="H17" i="15" s="1"/>
  <c r="G16" i="15"/>
  <c r="H16" i="15" s="1"/>
  <c r="G15" i="15"/>
  <c r="H15" i="15" s="1"/>
  <c r="G14" i="15"/>
  <c r="H14" i="15" s="1"/>
  <c r="D111" i="17"/>
  <c r="E111" i="17" s="1"/>
  <c r="D110" i="17"/>
  <c r="E110" i="17" s="1"/>
  <c r="F112" i="15"/>
  <c r="G67" i="17"/>
  <c r="G66" i="17"/>
  <c r="G58" i="17"/>
  <c r="G43" i="17"/>
  <c r="G42" i="17"/>
  <c r="G41" i="17"/>
  <c r="G40" i="17"/>
  <c r="G39" i="17"/>
  <c r="F37" i="17"/>
  <c r="G38" i="17"/>
  <c r="D49" i="17"/>
  <c r="E49" i="17" s="1"/>
  <c r="F49" i="17" s="1"/>
  <c r="D48" i="17"/>
  <c r="E48" i="17" s="1"/>
  <c r="F48" i="17" s="1"/>
  <c r="G120" i="16"/>
  <c r="G67" i="16"/>
  <c r="G66" i="16"/>
  <c r="G65" i="16"/>
  <c r="G59" i="16"/>
  <c r="G58" i="16"/>
  <c r="D69" i="16"/>
  <c r="E69" i="16" s="1"/>
  <c r="D69" i="17" s="1"/>
  <c r="E69" i="17" s="1"/>
  <c r="D62" i="16"/>
  <c r="E62" i="16" s="1"/>
  <c r="D62" i="17" s="1"/>
  <c r="E62" i="17" s="1"/>
  <c r="D61" i="16"/>
  <c r="E61" i="16" s="1"/>
  <c r="D61" i="17" s="1"/>
  <c r="E61" i="17" s="1"/>
  <c r="D59" i="16"/>
  <c r="E59" i="16" s="1"/>
  <c r="D59" i="17" s="1"/>
  <c r="E59" i="17" s="1"/>
  <c r="D57" i="16"/>
  <c r="E57" i="16" s="1"/>
  <c r="D57" i="17" s="1"/>
  <c r="E57" i="17" s="1"/>
  <c r="D56" i="16"/>
  <c r="E56" i="16" s="1"/>
  <c r="D56" i="17" s="1"/>
  <c r="E56" i="17" s="1"/>
  <c r="G42" i="16"/>
  <c r="G38" i="16"/>
  <c r="G39" i="16"/>
  <c r="G65" i="15"/>
  <c r="H65" i="15" s="1"/>
  <c r="G58" i="15"/>
  <c r="H58" i="15" s="1"/>
  <c r="K57" i="10"/>
  <c r="H57" i="10"/>
  <c r="E57" i="10"/>
  <c r="E42" i="10"/>
  <c r="E35" i="10"/>
  <c r="E28" i="10"/>
  <c r="D42" i="8"/>
  <c r="C43" i="8"/>
  <c r="C42" i="8"/>
  <c r="E13" i="8"/>
  <c r="F17" i="7"/>
  <c r="F13" i="7"/>
  <c r="F15" i="7"/>
  <c r="D56" i="8"/>
  <c r="D57" i="8"/>
  <c r="D58" i="8"/>
  <c r="D59" i="8"/>
  <c r="D60" i="8"/>
  <c r="D61" i="8"/>
  <c r="D62" i="8"/>
  <c r="D63" i="8"/>
  <c r="D64" i="8"/>
  <c r="D65" i="8"/>
  <c r="D55" i="8"/>
  <c r="C56" i="8"/>
  <c r="C57" i="8"/>
  <c r="C58" i="8"/>
  <c r="C59" i="8"/>
  <c r="C60" i="8"/>
  <c r="C61" i="8"/>
  <c r="C62" i="8"/>
  <c r="C63" i="8"/>
  <c r="C64" i="8"/>
  <c r="C65" i="8"/>
  <c r="G4" i="1"/>
  <c r="H4" i="1"/>
  <c r="I4" i="1"/>
  <c r="K4" i="1" s="1"/>
  <c r="J4" i="1"/>
  <c r="L4" i="1"/>
  <c r="N4" i="1" s="1"/>
  <c r="G5" i="1"/>
  <c r="H5" i="1"/>
  <c r="I5" i="1"/>
  <c r="L5" i="1"/>
  <c r="N5" i="1" s="1"/>
  <c r="M5" i="1"/>
  <c r="G6" i="1"/>
  <c r="H6" i="1"/>
  <c r="I6" i="1"/>
  <c r="K6" i="1" s="1"/>
  <c r="J6" i="1"/>
  <c r="L6" i="1"/>
  <c r="N6" i="1" s="1"/>
  <c r="M6" i="1"/>
  <c r="G7" i="1"/>
  <c r="H7" i="1"/>
  <c r="I7" i="1"/>
  <c r="J7" i="1" s="1"/>
  <c r="K7" i="1"/>
  <c r="L7" i="1"/>
  <c r="N7" i="1" s="1"/>
  <c r="M7" i="1"/>
  <c r="D4" i="1"/>
  <c r="D5" i="1"/>
  <c r="D6" i="1"/>
  <c r="D7" i="1"/>
  <c r="G80" i="17" l="1"/>
  <c r="H80" i="17" s="1"/>
  <c r="G80" i="16"/>
  <c r="G80" i="15"/>
  <c r="H80" i="15" s="1"/>
  <c r="G81" i="17"/>
  <c r="G81" i="16"/>
  <c r="G81" i="15"/>
  <c r="H81" i="15" s="1"/>
  <c r="G82" i="17"/>
  <c r="G82" i="16"/>
  <c r="G82" i="15"/>
  <c r="H82" i="15" s="1"/>
  <c r="G83" i="17"/>
  <c r="G83" i="16"/>
  <c r="G83" i="15"/>
  <c r="H83" i="15" s="1"/>
  <c r="G84" i="17"/>
  <c r="G84" i="16"/>
  <c r="G84" i="15"/>
  <c r="H84" i="15" s="1"/>
  <c r="G85" i="17"/>
  <c r="G85" i="16"/>
  <c r="G85" i="15"/>
  <c r="H85" i="15" s="1"/>
  <c r="G86" i="17"/>
  <c r="G86" i="16"/>
  <c r="G86" i="15"/>
  <c r="G87" i="17"/>
  <c r="G87" i="16"/>
  <c r="G87" i="15"/>
  <c r="H87" i="15" s="1"/>
  <c r="G88" i="17"/>
  <c r="G88" i="16"/>
  <c r="G89" i="17"/>
  <c r="G89" i="16"/>
  <c r="G89" i="15"/>
  <c r="H89" i="15" s="1"/>
  <c r="G90" i="17"/>
  <c r="H90" i="17" s="1"/>
  <c r="I90" i="17" s="1"/>
  <c r="G90" i="16"/>
  <c r="H90" i="16" s="1"/>
  <c r="I90" i="16" s="1"/>
  <c r="G90" i="15"/>
  <c r="H90" i="15" s="1"/>
  <c r="G91" i="17"/>
  <c r="G91" i="16"/>
  <c r="G91" i="15"/>
  <c r="H91" i="15" s="1"/>
  <c r="G92" i="17"/>
  <c r="G92" i="16"/>
  <c r="G92" i="15"/>
  <c r="H92" i="15" s="1"/>
  <c r="G93" i="17"/>
  <c r="G93" i="16"/>
  <c r="G93" i="15"/>
  <c r="H93" i="15" s="1"/>
  <c r="G94" i="17"/>
  <c r="G94" i="16"/>
  <c r="G94" i="15"/>
  <c r="H94" i="15" s="1"/>
  <c r="G95" i="17"/>
  <c r="G95" i="16"/>
  <c r="G95" i="15"/>
  <c r="H95" i="15" s="1"/>
  <c r="G97" i="17"/>
  <c r="G97" i="16"/>
  <c r="G97" i="15"/>
  <c r="H97" i="15" s="1"/>
  <c r="G98" i="17"/>
  <c r="G98" i="16"/>
  <c r="G98" i="15"/>
  <c r="H98" i="15" s="1"/>
  <c r="G62" i="17"/>
  <c r="G62" i="15"/>
  <c r="H62" i="15" s="1"/>
  <c r="G59" i="15"/>
  <c r="H59" i="15" s="1"/>
  <c r="G70" i="17"/>
  <c r="G69" i="17"/>
  <c r="G61" i="15"/>
  <c r="H61" i="15" s="1"/>
  <c r="G61" i="16"/>
  <c r="G69" i="15"/>
  <c r="H69" i="15" s="1"/>
  <c r="G56" i="16"/>
  <c r="G56" i="15"/>
  <c r="G128" i="15"/>
  <c r="F163" i="15" s="1"/>
  <c r="G63" i="17"/>
  <c r="G70" i="16"/>
  <c r="H122" i="15"/>
  <c r="H128" i="15" s="1"/>
  <c r="G163" i="15" s="1"/>
  <c r="F165" i="15"/>
  <c r="G64" i="17"/>
  <c r="G63" i="15"/>
  <c r="H63" i="15" s="1"/>
  <c r="G64" i="15"/>
  <c r="H64" i="15" s="1"/>
  <c r="G60" i="17"/>
  <c r="G68" i="17"/>
  <c r="G60" i="15"/>
  <c r="H60" i="15" s="1"/>
  <c r="G56" i="17"/>
  <c r="G57" i="16"/>
  <c r="G57" i="15"/>
  <c r="H57" i="15" s="1"/>
  <c r="E41" i="12"/>
  <c r="E43" i="12" s="1"/>
  <c r="E44" i="12" s="1"/>
  <c r="E47" i="12" s="1"/>
  <c r="E49" i="12" s="1"/>
  <c r="D41" i="12"/>
  <c r="D43" i="12" s="1"/>
  <c r="D44" i="12" s="1"/>
  <c r="D47" i="12" s="1"/>
  <c r="D49" i="12" s="1"/>
  <c r="C41" i="12"/>
  <c r="C43" i="12" s="1"/>
  <c r="C44" i="12" s="1"/>
  <c r="C47" i="12" s="1"/>
  <c r="C49" i="12" s="1"/>
  <c r="AA12" i="18"/>
  <c r="D24" i="11"/>
  <c r="D25" i="11"/>
  <c r="D26" i="11"/>
  <c r="C52" i="12"/>
  <c r="C51" i="12"/>
  <c r="C50" i="12"/>
  <c r="C53" i="12" s="1"/>
  <c r="D59" i="12"/>
  <c r="D60" i="12" s="1"/>
  <c r="D61" i="12"/>
  <c r="D62" i="12"/>
  <c r="D55" i="12"/>
  <c r="I80" i="17"/>
  <c r="K5" i="1"/>
  <c r="J5" i="1"/>
  <c r="M4" i="1"/>
  <c r="H56" i="15" l="1"/>
  <c r="G71" i="15"/>
  <c r="D56" i="12"/>
  <c r="D54" i="12"/>
  <c r="E26" i="11"/>
  <c r="F26" i="11" s="1"/>
  <c r="G26" i="11" s="1"/>
  <c r="AB26" i="11"/>
  <c r="E25" i="11"/>
  <c r="F25" i="11" s="1"/>
  <c r="G25" i="11" s="1"/>
  <c r="AB25" i="11"/>
  <c r="E24" i="11"/>
  <c r="F24" i="11" s="1"/>
  <c r="G24" i="11" s="1"/>
  <c r="AB24" i="11"/>
  <c r="C25" i="19"/>
  <c r="AH41" i="3" l="1"/>
  <c r="AH42" i="3"/>
  <c r="AH40" i="3"/>
  <c r="AH29" i="3"/>
  <c r="G18" i="3"/>
  <c r="F32" i="5"/>
  <c r="E32" i="5"/>
  <c r="O41" i="5"/>
  <c r="V41" i="5" s="1"/>
  <c r="O44" i="5"/>
  <c r="P44" i="5" s="1"/>
  <c r="F43" i="5"/>
  <c r="S43" i="5"/>
  <c r="Z43" i="5"/>
  <c r="F44" i="5"/>
  <c r="J44" i="5"/>
  <c r="Q44" i="5" s="1"/>
  <c r="X44" i="5" s="1"/>
  <c r="I44" i="5"/>
  <c r="S44" i="5"/>
  <c r="Z44" i="5"/>
  <c r="E14" i="5"/>
  <c r="G14" i="5"/>
  <c r="I14" i="5"/>
  <c r="E15" i="5"/>
  <c r="K15" i="5" s="1"/>
  <c r="R15" i="5" s="1"/>
  <c r="Y15" i="5" s="1"/>
  <c r="G15" i="5"/>
  <c r="N15" i="5" s="1"/>
  <c r="U15" i="5" s="1"/>
  <c r="AB15" i="5" s="1"/>
  <c r="L15" i="5"/>
  <c r="I15" i="5"/>
  <c r="E16" i="5"/>
  <c r="K16" i="5" s="1"/>
  <c r="R16" i="5" s="1"/>
  <c r="Y16" i="5" s="1"/>
  <c r="G16" i="5"/>
  <c r="N16" i="5" s="1"/>
  <c r="U16" i="5" s="1"/>
  <c r="AB16" i="5" s="1"/>
  <c r="J16" i="5"/>
  <c r="Q16" i="5" s="1"/>
  <c r="X16" i="5" s="1"/>
  <c r="I16" i="5"/>
  <c r="E17" i="5"/>
  <c r="K17" i="5" s="1"/>
  <c r="R17" i="5" s="1"/>
  <c r="Y17" i="5" s="1"/>
  <c r="G17" i="5"/>
  <c r="N17" i="5" s="1"/>
  <c r="U17" i="5" s="1"/>
  <c r="AB17" i="5" s="1"/>
  <c r="M17" i="5"/>
  <c r="T17" i="5" s="1"/>
  <c r="AA17" i="5" s="1"/>
  <c r="I17" i="5"/>
  <c r="J17" i="5"/>
  <c r="Q17" i="5" s="1"/>
  <c r="X17" i="5" s="1"/>
  <c r="E18" i="5"/>
  <c r="K18" i="5" s="1"/>
  <c r="R18" i="5" s="1"/>
  <c r="Y18" i="5" s="1"/>
  <c r="G18" i="5"/>
  <c r="N18" i="5" s="1"/>
  <c r="U18" i="5" s="1"/>
  <c r="AB18" i="5" s="1"/>
  <c r="L18" i="5"/>
  <c r="I18" i="5"/>
  <c r="J18" i="5"/>
  <c r="Q18" i="5" s="1"/>
  <c r="X18" i="5" s="1"/>
  <c r="O18" i="5"/>
  <c r="V18" i="5" s="1"/>
  <c r="W18" i="5" s="1"/>
  <c r="E19" i="5"/>
  <c r="R19" i="5" s="1"/>
  <c r="Y19" i="5" s="1"/>
  <c r="G19" i="5"/>
  <c r="N19" i="5" s="1"/>
  <c r="U19" i="5" s="1"/>
  <c r="AB19" i="5" s="1"/>
  <c r="M19" i="5"/>
  <c r="T19" i="5" s="1"/>
  <c r="AA19" i="5" s="1"/>
  <c r="I19" i="5"/>
  <c r="L19" i="5"/>
  <c r="Z19" i="5" s="1"/>
  <c r="B20" i="5"/>
  <c r="B21" i="5"/>
  <c r="B22" i="5"/>
  <c r="B23" i="5"/>
  <c r="B24" i="5"/>
  <c r="B25" i="5"/>
  <c r="G14" i="3"/>
  <c r="G15" i="3"/>
  <c r="J15" i="3" s="1"/>
  <c r="G16" i="3"/>
  <c r="J16" i="3" s="1"/>
  <c r="V44" i="5" l="1"/>
  <c r="W44" i="5" s="1"/>
  <c r="J14" i="3"/>
  <c r="Z18" i="5"/>
  <c r="S18" i="5"/>
  <c r="S15" i="5"/>
  <c r="Z15" i="5"/>
  <c r="S19" i="5"/>
  <c r="O15" i="5"/>
  <c r="J19" i="5"/>
  <c r="Q19" i="5" s="1"/>
  <c r="X19" i="5" s="1"/>
  <c r="O16" i="5"/>
  <c r="P18" i="5"/>
  <c r="O17" i="5"/>
  <c r="M15" i="5"/>
  <c r="T15" i="5" s="1"/>
  <c r="AA15" i="5" s="1"/>
  <c r="L16" i="5"/>
  <c r="M18" i="5"/>
  <c r="T18" i="5" s="1"/>
  <c r="AA18" i="5" s="1"/>
  <c r="L17" i="5"/>
  <c r="J15" i="5"/>
  <c r="Q15" i="5" s="1"/>
  <c r="X15" i="5" s="1"/>
  <c r="M16" i="5"/>
  <c r="T16" i="5" s="1"/>
  <c r="AA16" i="5" s="1"/>
  <c r="O19" i="5"/>
  <c r="M15" i="3"/>
  <c r="M16" i="3"/>
  <c r="AZ44" i="3"/>
  <c r="BC44" i="3" s="1"/>
  <c r="AZ43" i="3"/>
  <c r="BC43" i="3" s="1"/>
  <c r="BF43" i="3" s="1"/>
  <c r="AK44" i="3"/>
  <c r="AN44" i="3" s="1"/>
  <c r="AK43" i="3"/>
  <c r="AN43" i="3" s="1"/>
  <c r="AQ43" i="3" s="1"/>
  <c r="G44" i="3"/>
  <c r="J44" i="3" s="1"/>
  <c r="M44" i="3" s="1"/>
  <c r="P44" i="3" s="1"/>
  <c r="S44" i="3" s="1"/>
  <c r="V44" i="3" s="1"/>
  <c r="Y44" i="3" s="1"/>
  <c r="AB44" i="3" s="1"/>
  <c r="AE44" i="3" s="1"/>
  <c r="G43" i="3"/>
  <c r="J43" i="3" s="1"/>
  <c r="G13" i="3"/>
  <c r="G11" i="3"/>
  <c r="G12" i="3"/>
  <c r="J12" i="3" s="1"/>
  <c r="M43" i="3" l="1"/>
  <c r="M14" i="3"/>
  <c r="P19" i="5"/>
  <c r="V19" i="5"/>
  <c r="W19" i="5" s="1"/>
  <c r="S17" i="5"/>
  <c r="Z17" i="5"/>
  <c r="Z16" i="5"/>
  <c r="S16" i="5"/>
  <c r="V16" i="5"/>
  <c r="W16" i="5" s="1"/>
  <c r="P16" i="5"/>
  <c r="P15" i="5"/>
  <c r="V15" i="5"/>
  <c r="W15" i="5" s="1"/>
  <c r="V17" i="5"/>
  <c r="W17" i="5" s="1"/>
  <c r="P17" i="5"/>
  <c r="BF44" i="3"/>
  <c r="BI43" i="3"/>
  <c r="AQ44" i="3"/>
  <c r="AT43" i="3"/>
  <c r="M12" i="3"/>
  <c r="J13" i="3"/>
  <c r="J11" i="3"/>
  <c r="P43" i="3" l="1"/>
  <c r="BI44" i="3"/>
  <c r="BL43" i="3"/>
  <c r="AT44" i="3"/>
  <c r="M11" i="3"/>
  <c r="M13" i="3"/>
  <c r="H57" i="3"/>
  <c r="S43" i="3" l="1"/>
  <c r="BL44" i="3"/>
  <c r="BO43" i="3"/>
  <c r="V43" i="3" l="1"/>
  <c r="BO44" i="3"/>
  <c r="BR43" i="3"/>
  <c r="Y43" i="3" l="1"/>
  <c r="BR44" i="3"/>
  <c r="BU43" i="3"/>
  <c r="D65" i="10"/>
  <c r="D66" i="10" s="1"/>
  <c r="AB43" i="3" l="1"/>
  <c r="BU44" i="3"/>
  <c r="BX43" i="3"/>
  <c r="G13" i="5"/>
  <c r="AE43" i="3" l="1"/>
  <c r="G36" i="5"/>
  <c r="G43" i="5"/>
  <c r="G44" i="5"/>
  <c r="N44" i="5" s="1"/>
  <c r="U44" i="5" s="1"/>
  <c r="G32" i="5"/>
  <c r="BX44" i="3"/>
  <c r="C88" i="8" l="1"/>
  <c r="C89" i="8"/>
  <c r="C90" i="8"/>
  <c r="C91" i="8"/>
  <c r="C92" i="8"/>
  <c r="C93" i="8"/>
  <c r="C94" i="8"/>
  <c r="C95" i="8"/>
  <c r="C96" i="8"/>
  <c r="C97" i="8"/>
  <c r="C98" i="8"/>
  <c r="C99" i="8"/>
  <c r="C100" i="8"/>
  <c r="C101" i="8"/>
  <c r="C102" i="8"/>
  <c r="C103" i="8"/>
  <c r="C104" i="8"/>
  <c r="C105" i="8"/>
  <c r="C106" i="8"/>
  <c r="C107" i="8"/>
  <c r="C108" i="8"/>
  <c r="C109" i="8"/>
  <c r="D110" i="8" s="1"/>
  <c r="E71" i="10" s="1"/>
  <c r="C86" i="8"/>
  <c r="C87" i="8"/>
  <c r="C53" i="8" l="1"/>
  <c r="C54" i="8"/>
  <c r="C44" i="8"/>
  <c r="C45" i="8"/>
  <c r="C46" i="8"/>
  <c r="C47" i="8"/>
  <c r="C48" i="8"/>
  <c r="C49" i="8"/>
  <c r="C50" i="8"/>
  <c r="D52" i="8" l="1"/>
  <c r="D53" i="8"/>
  <c r="D54" i="8"/>
  <c r="D51" i="8"/>
  <c r="G44" i="8" l="1"/>
  <c r="G45" i="8"/>
  <c r="G46" i="8"/>
  <c r="G47" i="8"/>
  <c r="G48" i="8"/>
  <c r="G49" i="8"/>
  <c r="G50" i="8"/>
  <c r="G51" i="8"/>
  <c r="G52" i="8"/>
  <c r="G53" i="8"/>
  <c r="G54" i="8"/>
  <c r="G55" i="8"/>
  <c r="G56" i="8"/>
  <c r="G57" i="8"/>
  <c r="G58" i="8"/>
  <c r="G59" i="8"/>
  <c r="G60" i="8"/>
  <c r="G61" i="8"/>
  <c r="G62" i="8"/>
  <c r="G63" i="8"/>
  <c r="G64" i="8"/>
  <c r="G65" i="8"/>
  <c r="G43" i="8"/>
  <c r="G42" i="8"/>
  <c r="F44" i="8"/>
  <c r="F45" i="8"/>
  <c r="F46" i="8"/>
  <c r="F47" i="8"/>
  <c r="F48" i="8"/>
  <c r="F49" i="8"/>
  <c r="F50" i="8"/>
  <c r="F51" i="8"/>
  <c r="F52" i="8"/>
  <c r="F53" i="8"/>
  <c r="F54" i="8"/>
  <c r="F55" i="8"/>
  <c r="F56" i="8"/>
  <c r="F57" i="8"/>
  <c r="F58" i="8"/>
  <c r="F59" i="8"/>
  <c r="F60" i="8"/>
  <c r="F61" i="8"/>
  <c r="F62" i="8"/>
  <c r="F63" i="8"/>
  <c r="F64" i="8"/>
  <c r="F65" i="8"/>
  <c r="F43" i="8"/>
  <c r="F42" i="8"/>
  <c r="E44" i="8"/>
  <c r="E45" i="8"/>
  <c r="E46" i="8"/>
  <c r="E47" i="8"/>
  <c r="E48" i="8"/>
  <c r="E49" i="8"/>
  <c r="E50" i="8"/>
  <c r="E51" i="8"/>
  <c r="E52" i="8"/>
  <c r="E53" i="8"/>
  <c r="E54" i="8"/>
  <c r="E55" i="8"/>
  <c r="E56" i="8"/>
  <c r="E57" i="8"/>
  <c r="E58" i="8"/>
  <c r="E59" i="8"/>
  <c r="E60" i="8"/>
  <c r="E61" i="8"/>
  <c r="E62" i="8"/>
  <c r="E63" i="8"/>
  <c r="E64" i="8"/>
  <c r="E65" i="8"/>
  <c r="E43" i="8"/>
  <c r="E42" i="8"/>
  <c r="D121" i="17"/>
  <c r="D122" i="17"/>
  <c r="D123" i="17"/>
  <c r="D124" i="17"/>
  <c r="D125" i="17"/>
  <c r="D126" i="17"/>
  <c r="D120" i="17"/>
  <c r="D22" i="17"/>
  <c r="D23" i="17"/>
  <c r="D24" i="17"/>
  <c r="D29" i="17"/>
  <c r="D21" i="17"/>
  <c r="G13" i="17"/>
  <c r="G19" i="17"/>
  <c r="G20" i="17"/>
  <c r="G21" i="17"/>
  <c r="G22" i="17"/>
  <c r="G23" i="17"/>
  <c r="G24" i="17"/>
  <c r="G25" i="17"/>
  <c r="G26" i="17"/>
  <c r="G28" i="17"/>
  <c r="G29" i="17"/>
  <c r="G13" i="16"/>
  <c r="G19" i="16"/>
  <c r="G20" i="16"/>
  <c r="G21" i="16"/>
  <c r="G22" i="16"/>
  <c r="G23" i="16"/>
  <c r="G24" i="16"/>
  <c r="G25" i="16"/>
  <c r="G26" i="16"/>
  <c r="G27" i="16"/>
  <c r="G28" i="16"/>
  <c r="G29" i="16"/>
  <c r="D44" i="8"/>
  <c r="D45" i="8"/>
  <c r="D46" i="8"/>
  <c r="D47" i="8"/>
  <c r="D48" i="8"/>
  <c r="D49" i="8"/>
  <c r="D50" i="8"/>
  <c r="D43" i="8"/>
  <c r="F125" i="17" l="1"/>
  <c r="G125" i="17"/>
  <c r="F121" i="17"/>
  <c r="G121" i="17"/>
  <c r="H121" i="17" s="1"/>
  <c r="I121" i="17" s="1"/>
  <c r="F122" i="17"/>
  <c r="G122" i="17"/>
  <c r="H122" i="17" s="1"/>
  <c r="I122" i="17" s="1"/>
  <c r="F123" i="17"/>
  <c r="G123" i="17"/>
  <c r="H123" i="17" s="1"/>
  <c r="I123" i="17" s="1"/>
  <c r="F124" i="17"/>
  <c r="G124" i="17"/>
  <c r="H124" i="17" s="1"/>
  <c r="I124" i="17" s="1"/>
  <c r="D112" i="17"/>
  <c r="E112" i="17" s="1"/>
  <c r="F112" i="17" s="1"/>
  <c r="G112" i="17"/>
  <c r="G108" i="17"/>
  <c r="G109" i="17"/>
  <c r="F110" i="17"/>
  <c r="G110" i="17"/>
  <c r="F111" i="17"/>
  <c r="G111" i="17"/>
  <c r="D125" i="16"/>
  <c r="D121" i="16"/>
  <c r="D122" i="16"/>
  <c r="D123" i="16"/>
  <c r="D124" i="16"/>
  <c r="I112" i="16"/>
  <c r="D112" i="16"/>
  <c r="F112" i="16" s="1"/>
  <c r="D108" i="16"/>
  <c r="D109" i="16"/>
  <c r="D110" i="16"/>
  <c r="D17" i="17"/>
  <c r="F17" i="17" s="1"/>
  <c r="D18" i="17"/>
  <c r="F18" i="17" s="1"/>
  <c r="D19" i="17"/>
  <c r="F19" i="17" s="1"/>
  <c r="D13" i="17"/>
  <c r="C16" i="17"/>
  <c r="C15" i="17"/>
  <c r="C14" i="17"/>
  <c r="D13" i="16"/>
  <c r="D14" i="16"/>
  <c r="D15" i="16"/>
  <c r="D16" i="16"/>
  <c r="D17" i="16"/>
  <c r="F17" i="16" s="1"/>
  <c r="D18" i="16"/>
  <c r="F18" i="16" s="1"/>
  <c r="D19" i="16"/>
  <c r="D20" i="16"/>
  <c r="D21" i="16"/>
  <c r="D22" i="16"/>
  <c r="F22" i="16" s="1"/>
  <c r="D23" i="16"/>
  <c r="D24" i="16"/>
  <c r="F24" i="16" s="1"/>
  <c r="D25" i="16"/>
  <c r="E25" i="16" s="1"/>
  <c r="D26" i="16"/>
  <c r="E26" i="16" s="1"/>
  <c r="D27" i="16"/>
  <c r="D28" i="16"/>
  <c r="E28" i="16" s="1"/>
  <c r="D29" i="16"/>
  <c r="F29" i="16" s="1"/>
  <c r="C16" i="16"/>
  <c r="C15" i="16"/>
  <c r="C14" i="16"/>
  <c r="F23" i="16"/>
  <c r="F126" i="17"/>
  <c r="E27" i="16"/>
  <c r="G28" i="15"/>
  <c r="H28" i="15" s="1"/>
  <c r="S23" i="3"/>
  <c r="V23" i="3" s="1"/>
  <c r="H19" i="17" l="1"/>
  <c r="I19" i="17" s="1"/>
  <c r="F27" i="16"/>
  <c r="D27" i="17"/>
  <c r="F28" i="16"/>
  <c r="D28" i="17"/>
  <c r="F26" i="16"/>
  <c r="D26" i="17"/>
  <c r="F25" i="16"/>
  <c r="D25" i="17"/>
  <c r="H111" i="17"/>
  <c r="I111" i="17" s="1"/>
  <c r="H110" i="17"/>
  <c r="I110" i="17" s="1"/>
  <c r="H125" i="17"/>
  <c r="I125" i="17" s="1"/>
  <c r="H112" i="17"/>
  <c r="I112" i="17" s="1"/>
  <c r="H125" i="16"/>
  <c r="I125" i="16" s="1"/>
  <c r="Y23" i="3"/>
  <c r="AB23" i="3" l="1"/>
  <c r="AE23" i="3" l="1"/>
  <c r="AH23" i="3" s="1"/>
  <c r="AK23" i="3" s="1"/>
  <c r="AN23" i="3" s="1"/>
  <c r="AQ23" i="3" s="1"/>
  <c r="AT23" i="3" s="1"/>
  <c r="AW23" i="3" s="1"/>
  <c r="AZ23" i="3" s="1"/>
  <c r="BC23" i="3" s="1"/>
  <c r="BF23" i="3" s="1"/>
  <c r="BI23" i="3" s="1"/>
  <c r="BL23" i="3" s="1"/>
  <c r="BO23" i="3" s="1"/>
  <c r="BR23" i="3" l="1"/>
  <c r="BU23" i="3" l="1"/>
  <c r="BX23" i="3" l="1"/>
  <c r="D85" i="10" l="1"/>
  <c r="D87" i="10" s="1"/>
  <c r="F150" i="15"/>
  <c r="F108" i="15"/>
  <c r="G108" i="15" s="1"/>
  <c r="H108" i="15" s="1"/>
  <c r="D11" i="8" l="1"/>
  <c r="H65" i="8"/>
  <c r="H55" i="8"/>
  <c r="C24" i="8" s="1"/>
  <c r="E24" i="8" s="1"/>
  <c r="H62" i="8"/>
  <c r="H63" i="8"/>
  <c r="H50" i="8"/>
  <c r="H58" i="8"/>
  <c r="H52" i="8"/>
  <c r="C21" i="8" s="1"/>
  <c r="H60" i="8"/>
  <c r="H54" i="8"/>
  <c r="G17" i="17" l="1"/>
  <c r="H17" i="17" s="1"/>
  <c r="I17" i="17" s="1"/>
  <c r="G17" i="16"/>
  <c r="H17" i="16" s="1"/>
  <c r="I17" i="16" s="1"/>
  <c r="G16" i="16"/>
  <c r="G16" i="17"/>
  <c r="G15" i="16"/>
  <c r="G15" i="17"/>
  <c r="G18" i="16"/>
  <c r="H18" i="16" s="1"/>
  <c r="I18" i="16" s="1"/>
  <c r="G18" i="17"/>
  <c r="H18" i="17" s="1"/>
  <c r="I18" i="17" s="1"/>
  <c r="G14" i="17"/>
  <c r="G14" i="16"/>
  <c r="H49" i="8"/>
  <c r="H46" i="8"/>
  <c r="H64" i="8"/>
  <c r="H56" i="8"/>
  <c r="H48" i="8"/>
  <c r="H59" i="8"/>
  <c r="H51" i="8"/>
  <c r="C20" i="8" s="1"/>
  <c r="E20" i="8" s="1"/>
  <c r="H47" i="8"/>
  <c r="H44" i="8"/>
  <c r="H61" i="8"/>
  <c r="H53" i="8"/>
  <c r="H45" i="8"/>
  <c r="H57" i="8"/>
  <c r="H43" i="8"/>
  <c r="H42" i="8"/>
  <c r="D12" i="8" l="1"/>
  <c r="D13" i="8"/>
  <c r="D14" i="8"/>
  <c r="D15" i="8"/>
  <c r="D16" i="8"/>
  <c r="D17" i="8"/>
  <c r="D18" i="8"/>
  <c r="D19" i="8"/>
  <c r="D20" i="8"/>
  <c r="D21" i="8"/>
  <c r="D22" i="8"/>
  <c r="D23" i="8"/>
  <c r="D24" i="8"/>
  <c r="D25" i="8"/>
  <c r="D26" i="8"/>
  <c r="D27" i="8"/>
  <c r="D28" i="8"/>
  <c r="D30" i="8"/>
  <c r="D31" i="8"/>
  <c r="D32" i="8"/>
  <c r="D33" i="8"/>
  <c r="I17" i="7" l="1"/>
  <c r="I15" i="7"/>
  <c r="I13" i="7"/>
  <c r="H17" i="7"/>
  <c r="H15" i="7"/>
  <c r="G15" i="7"/>
  <c r="G17" i="7"/>
  <c r="H13" i="7"/>
  <c r="H10" i="7"/>
  <c r="I10" i="7"/>
  <c r="C18" i="17" l="1"/>
  <c r="C18" i="16"/>
  <c r="C18" i="15"/>
  <c r="C17" i="17"/>
  <c r="C17" i="16"/>
  <c r="C17" i="15"/>
  <c r="Q41" i="5"/>
  <c r="X41" i="5" s="1"/>
  <c r="F36" i="5"/>
  <c r="I56" i="5"/>
  <c r="Z22" i="5"/>
  <c r="Z37" i="5"/>
  <c r="Z42" i="5"/>
  <c r="Z45" i="5"/>
  <c r="Z46" i="5"/>
  <c r="S42" i="5"/>
  <c r="S45" i="5"/>
  <c r="S46" i="5"/>
  <c r="S36" i="5"/>
  <c r="S35" i="5"/>
  <c r="S22" i="5"/>
  <c r="I20" i="5"/>
  <c r="I21" i="5"/>
  <c r="I22" i="5"/>
  <c r="I23" i="5"/>
  <c r="I24" i="5"/>
  <c r="I25" i="5"/>
  <c r="I26" i="5"/>
  <c r="I27" i="5"/>
  <c r="I28" i="5"/>
  <c r="I13" i="5"/>
  <c r="D40" i="5"/>
  <c r="D39" i="5"/>
  <c r="D36" i="5"/>
  <c r="D35" i="5"/>
  <c r="G26" i="5"/>
  <c r="G27" i="5"/>
  <c r="G28" i="5"/>
  <c r="F26" i="5"/>
  <c r="F27" i="5"/>
  <c r="F28" i="5"/>
  <c r="E26" i="5"/>
  <c r="E27" i="5"/>
  <c r="E28" i="5"/>
  <c r="E35" i="5" s="1"/>
  <c r="H36" i="5"/>
  <c r="H35" i="5"/>
  <c r="B26" i="5" l="1"/>
  <c r="B27" i="5"/>
  <c r="B28" i="5"/>
  <c r="B13" i="5"/>
  <c r="D77" i="4"/>
  <c r="D78" i="4"/>
  <c r="I77" i="4"/>
  <c r="I78" i="4"/>
  <c r="I79" i="4"/>
  <c r="I76" i="4"/>
  <c r="G77" i="4"/>
  <c r="G78" i="4"/>
  <c r="G79" i="4"/>
  <c r="G76" i="4"/>
  <c r="H76" i="4"/>
  <c r="J76" i="4" s="1"/>
  <c r="F75" i="4"/>
  <c r="H40" i="5" s="1"/>
  <c r="O40" i="5" s="1"/>
  <c r="V40" i="5" s="1"/>
  <c r="F77" i="4"/>
  <c r="H42" i="5" s="1"/>
  <c r="V42" i="5" s="1"/>
  <c r="F78" i="4"/>
  <c r="F79" i="4"/>
  <c r="H46" i="5" s="1"/>
  <c r="O46" i="5" s="1"/>
  <c r="V46" i="5" s="1"/>
  <c r="F74" i="4"/>
  <c r="H39" i="5" s="1"/>
  <c r="O39" i="5" s="1"/>
  <c r="V39" i="5" s="1"/>
  <c r="C75" i="4"/>
  <c r="C76" i="4"/>
  <c r="C77" i="4"/>
  <c r="C78" i="4"/>
  <c r="C79" i="4"/>
  <c r="C74" i="4"/>
  <c r="C69" i="4"/>
  <c r="C68" i="4"/>
  <c r="F50" i="4"/>
  <c r="F51" i="4"/>
  <c r="F52" i="4"/>
  <c r="F53" i="4"/>
  <c r="F54" i="4"/>
  <c r="H24" i="5" s="1"/>
  <c r="F55" i="4"/>
  <c r="H25" i="5" s="1"/>
  <c r="F56" i="4"/>
  <c r="F57" i="4"/>
  <c r="H27" i="5" s="1"/>
  <c r="F58" i="4"/>
  <c r="F49" i="4"/>
  <c r="C50" i="4"/>
  <c r="C51" i="4"/>
  <c r="C52" i="4"/>
  <c r="C53" i="4"/>
  <c r="C54" i="4"/>
  <c r="C55" i="4"/>
  <c r="C56" i="4"/>
  <c r="C57" i="4"/>
  <c r="C58" i="4"/>
  <c r="C49" i="4"/>
  <c r="H20" i="5" l="1"/>
  <c r="O20" i="5" s="1"/>
  <c r="V20" i="5" s="1"/>
  <c r="H14" i="5"/>
  <c r="O43" i="5"/>
  <c r="Q43" i="5"/>
  <c r="X43" i="5" s="1"/>
  <c r="N43" i="5"/>
  <c r="U43" i="5" s="1"/>
  <c r="I43" i="5"/>
  <c r="H74" i="4"/>
  <c r="J74" i="4" s="1"/>
  <c r="H55" i="4"/>
  <c r="J55" i="4" s="1"/>
  <c r="H54" i="4"/>
  <c r="J54" i="4" s="1"/>
  <c r="H75" i="4"/>
  <c r="J75" i="4" s="1"/>
  <c r="H78" i="4"/>
  <c r="J78" i="4" s="1"/>
  <c r="H45" i="5"/>
  <c r="V45" i="5" s="1"/>
  <c r="H51" i="4"/>
  <c r="J51" i="4" s="1"/>
  <c r="H21" i="5"/>
  <c r="H56" i="4"/>
  <c r="J56" i="4" s="1"/>
  <c r="H26" i="5"/>
  <c r="J27" i="5"/>
  <c r="Q27" i="5" s="1"/>
  <c r="X27" i="5" s="1"/>
  <c r="L27" i="5"/>
  <c r="M27" i="5"/>
  <c r="T27" i="5" s="1"/>
  <c r="AA27" i="5" s="1"/>
  <c r="O27" i="5"/>
  <c r="K27" i="5"/>
  <c r="R27" i="5" s="1"/>
  <c r="Y27" i="5" s="1"/>
  <c r="O25" i="5"/>
  <c r="V25" i="5" s="1"/>
  <c r="J25" i="5"/>
  <c r="Q25" i="5" s="1"/>
  <c r="X25" i="5" s="1"/>
  <c r="O24" i="5"/>
  <c r="V24" i="5" s="1"/>
  <c r="J24" i="5"/>
  <c r="Q24" i="5" s="1"/>
  <c r="X24" i="5" s="1"/>
  <c r="H50" i="4"/>
  <c r="J50" i="4" s="1"/>
  <c r="H57" i="4"/>
  <c r="J57" i="4" s="1"/>
  <c r="H53" i="4"/>
  <c r="J53" i="4" s="1"/>
  <c r="H23" i="5"/>
  <c r="H49" i="4"/>
  <c r="J49" i="4" s="1"/>
  <c r="H13" i="5"/>
  <c r="H58" i="4"/>
  <c r="J58" i="4" s="1"/>
  <c r="H28" i="5"/>
  <c r="H52" i="4"/>
  <c r="J52" i="4" s="1"/>
  <c r="H22" i="5"/>
  <c r="N27" i="5"/>
  <c r="U27" i="5" s="1"/>
  <c r="AB27" i="5" s="1"/>
  <c r="H79" i="4"/>
  <c r="J79" i="4" s="1"/>
  <c r="Q42" i="5"/>
  <c r="X42" i="5" s="1"/>
  <c r="H77" i="4"/>
  <c r="J77" i="4" s="1"/>
  <c r="L18" i="1"/>
  <c r="I18" i="1"/>
  <c r="K18" i="1" s="1"/>
  <c r="H18" i="1"/>
  <c r="G18" i="1"/>
  <c r="D18" i="1"/>
  <c r="L17" i="1"/>
  <c r="M17" i="1" s="1"/>
  <c r="I17" i="1"/>
  <c r="J17" i="1" s="1"/>
  <c r="H17" i="1"/>
  <c r="G17" i="1"/>
  <c r="D17" i="1"/>
  <c r="L16" i="1"/>
  <c r="M16" i="1" s="1"/>
  <c r="I16" i="1"/>
  <c r="K16" i="1" s="1"/>
  <c r="H16" i="1"/>
  <c r="G16" i="1"/>
  <c r="D16" i="1"/>
  <c r="L15" i="1"/>
  <c r="I15" i="1"/>
  <c r="J15" i="1" s="1"/>
  <c r="H15" i="1"/>
  <c r="G15" i="1"/>
  <c r="D15" i="1"/>
  <c r="L14" i="1"/>
  <c r="M14" i="1" s="1"/>
  <c r="I14" i="1"/>
  <c r="K14" i="1" s="1"/>
  <c r="H14" i="1"/>
  <c r="G14" i="1"/>
  <c r="D14" i="1"/>
  <c r="L13" i="1"/>
  <c r="N13" i="1" s="1"/>
  <c r="I13" i="1"/>
  <c r="K13" i="1" s="1"/>
  <c r="H13" i="1"/>
  <c r="G13" i="1"/>
  <c r="D13" i="1"/>
  <c r="L12" i="1"/>
  <c r="N12" i="1" s="1"/>
  <c r="I12" i="1"/>
  <c r="K12" i="1" s="1"/>
  <c r="H12" i="1"/>
  <c r="G12" i="1"/>
  <c r="D12" i="1"/>
  <c r="L11" i="1"/>
  <c r="N11" i="1" s="1"/>
  <c r="I11" i="1"/>
  <c r="J11" i="1" s="1"/>
  <c r="H11" i="1"/>
  <c r="G11" i="1"/>
  <c r="D11" i="1"/>
  <c r="L10" i="1"/>
  <c r="N10" i="1" s="1"/>
  <c r="I10" i="1"/>
  <c r="K10" i="1" s="1"/>
  <c r="H10" i="1"/>
  <c r="G10" i="1"/>
  <c r="D10" i="1"/>
  <c r="L9" i="1"/>
  <c r="M9" i="1" s="1"/>
  <c r="I9" i="1"/>
  <c r="J9" i="1" s="1"/>
  <c r="H9" i="1"/>
  <c r="G9" i="1"/>
  <c r="D9" i="1"/>
  <c r="L8" i="1"/>
  <c r="I8" i="1"/>
  <c r="H8" i="1"/>
  <c r="G8" i="1"/>
  <c r="D8" i="1"/>
  <c r="H16" i="2" l="1"/>
  <c r="K8" i="1"/>
  <c r="I19" i="1"/>
  <c r="M8" i="1"/>
  <c r="L19" i="1"/>
  <c r="H10" i="2" s="1"/>
  <c r="N15" i="1"/>
  <c r="M15" i="1"/>
  <c r="N14" i="1"/>
  <c r="N17" i="1"/>
  <c r="K17" i="1"/>
  <c r="N9" i="1"/>
  <c r="N8" i="1"/>
  <c r="N18" i="1"/>
  <c r="H12" i="2"/>
  <c r="J20" i="5"/>
  <c r="Q20" i="5" s="1"/>
  <c r="V43" i="5"/>
  <c r="W43" i="5" s="1"/>
  <c r="P43" i="5"/>
  <c r="M14" i="5"/>
  <c r="T14" i="5" s="1"/>
  <c r="AA14" i="5" s="1"/>
  <c r="O14" i="5"/>
  <c r="J14" i="5"/>
  <c r="Q14" i="5" s="1"/>
  <c r="X14" i="5" s="1"/>
  <c r="L14" i="5"/>
  <c r="N14" i="5"/>
  <c r="U14" i="5" s="1"/>
  <c r="AB14" i="5" s="1"/>
  <c r="K14" i="5"/>
  <c r="R14" i="5" s="1"/>
  <c r="Y14" i="5" s="1"/>
  <c r="Z27" i="5"/>
  <c r="S27" i="5"/>
  <c r="P27" i="5"/>
  <c r="V27" i="5"/>
  <c r="W27" i="5" s="1"/>
  <c r="O13" i="5"/>
  <c r="V13" i="5" s="1"/>
  <c r="N13" i="5"/>
  <c r="M13" i="5"/>
  <c r="M32" i="5" s="1"/>
  <c r="O23" i="5"/>
  <c r="V23" i="5" s="1"/>
  <c r="J23" i="5"/>
  <c r="Q23" i="5" s="1"/>
  <c r="X23" i="5" s="1"/>
  <c r="O22" i="5"/>
  <c r="V22" i="5" s="1"/>
  <c r="J22" i="5"/>
  <c r="Q22" i="5" s="1"/>
  <c r="X22" i="5" s="1"/>
  <c r="O21" i="5"/>
  <c r="V21" i="5" s="1"/>
  <c r="J21" i="5"/>
  <c r="Q21" i="5" s="1"/>
  <c r="J26" i="5"/>
  <c r="O26" i="5"/>
  <c r="V26" i="5" s="1"/>
  <c r="M26" i="5"/>
  <c r="N26" i="5"/>
  <c r="V28" i="5"/>
  <c r="R28" i="5"/>
  <c r="Y28" i="5" s="1"/>
  <c r="J28" i="5"/>
  <c r="Q28" i="5" s="1"/>
  <c r="X28" i="5" s="1"/>
  <c r="M28" i="5"/>
  <c r="T28" i="5" s="1"/>
  <c r="AA28" i="5" s="1"/>
  <c r="N28" i="5"/>
  <c r="U28" i="5" s="1"/>
  <c r="AB28" i="5" s="1"/>
  <c r="M18" i="1"/>
  <c r="J18" i="1"/>
  <c r="K11" i="1"/>
  <c r="J12" i="1"/>
  <c r="J10" i="1"/>
  <c r="K9" i="1"/>
  <c r="M10" i="1"/>
  <c r="J14" i="1"/>
  <c r="M12" i="1"/>
  <c r="M13" i="1"/>
  <c r="K15" i="1"/>
  <c r="J16" i="1"/>
  <c r="J13" i="1"/>
  <c r="M11" i="1"/>
  <c r="J8" i="1"/>
  <c r="N16" i="1"/>
  <c r="L65" i="6"/>
  <c r="M65" i="6" s="1"/>
  <c r="L66" i="6"/>
  <c r="M66" i="6" s="1"/>
  <c r="L67" i="6"/>
  <c r="M67" i="6" s="1"/>
  <c r="J40" i="5" l="1"/>
  <c r="J36" i="5"/>
  <c r="S14" i="5"/>
  <c r="Z14" i="5"/>
  <c r="P14" i="5"/>
  <c r="V14" i="5"/>
  <c r="W14" i="5" s="1"/>
  <c r="Q36" i="5"/>
  <c r="Q40" i="5"/>
  <c r="X20" i="5"/>
  <c r="R26" i="5"/>
  <c r="Q26" i="5"/>
  <c r="Q45" i="5"/>
  <c r="X21" i="5"/>
  <c r="X45" i="5" s="1"/>
  <c r="T13" i="5"/>
  <c r="M35" i="5"/>
  <c r="M39" i="5"/>
  <c r="U26" i="5"/>
  <c r="N46" i="5"/>
  <c r="N39" i="5"/>
  <c r="N35" i="5"/>
  <c r="U13" i="5"/>
  <c r="U32" i="5" s="1"/>
  <c r="M46" i="5"/>
  <c r="T26" i="5"/>
  <c r="J35" i="5"/>
  <c r="Q13" i="5"/>
  <c r="Q32" i="5" s="1"/>
  <c r="J39" i="5"/>
  <c r="D29" i="20"/>
  <c r="AA13" i="5" l="1"/>
  <c r="AA32" i="5" s="1"/>
  <c r="T32" i="5"/>
  <c r="AA26" i="5"/>
  <c r="AA46" i="5" s="1"/>
  <c r="T46" i="5"/>
  <c r="AB26" i="5"/>
  <c r="AB46" i="5" s="1"/>
  <c r="U46" i="5"/>
  <c r="Q46" i="5"/>
  <c r="X26" i="5"/>
  <c r="X46" i="5" s="1"/>
  <c r="Q39" i="5"/>
  <c r="X13" i="5"/>
  <c r="X32" i="5" s="1"/>
  <c r="Q35" i="5"/>
  <c r="AB13" i="5"/>
  <c r="AB32" i="5" s="1"/>
  <c r="U39" i="5"/>
  <c r="X40" i="5"/>
  <c r="X36" i="5"/>
  <c r="R46" i="5"/>
  <c r="Y26" i="5"/>
  <c r="Y46" i="5" s="1"/>
  <c r="F25" i="5"/>
  <c r="M25" i="5" s="1"/>
  <c r="T25" i="5" s="1"/>
  <c r="AA25" i="5" s="1"/>
  <c r="E25" i="5"/>
  <c r="K25" i="5" s="1"/>
  <c r="R25" i="5" s="1"/>
  <c r="Y25" i="5" s="1"/>
  <c r="I126" i="17"/>
  <c r="X35" i="5" l="1"/>
  <c r="X39" i="5"/>
  <c r="AB35" i="5"/>
  <c r="AB39" i="5"/>
  <c r="D26" i="20"/>
  <c r="I72" i="17"/>
  <c r="G126" i="16"/>
  <c r="F135" i="15"/>
  <c r="E85" i="10"/>
  <c r="D86" i="10"/>
  <c r="D71" i="10"/>
  <c r="G71" i="10" s="1"/>
  <c r="G135" i="15" l="1"/>
  <c r="D30" i="11"/>
  <c r="E30" i="11"/>
  <c r="F30" i="11" s="1"/>
  <c r="G30" i="11" s="1"/>
  <c r="H30" i="11" s="1"/>
  <c r="I30" i="11" s="1"/>
  <c r="J30" i="11" s="1"/>
  <c r="K30" i="11" s="1"/>
  <c r="L30" i="11" s="1"/>
  <c r="M30" i="11" s="1"/>
  <c r="N30" i="11" s="1"/>
  <c r="O30" i="11" s="1"/>
  <c r="P30" i="11" s="1"/>
  <c r="Q30" i="11" s="1"/>
  <c r="R30" i="11" s="1"/>
  <c r="S30" i="11" s="1"/>
  <c r="T30" i="11" s="1"/>
  <c r="U30" i="11" s="1"/>
  <c r="V30" i="11" s="1"/>
  <c r="W30" i="11" s="1"/>
  <c r="X30" i="11" s="1"/>
  <c r="Y30" i="11" s="1"/>
  <c r="Z30" i="11" s="1"/>
  <c r="AA30" i="11" s="1"/>
  <c r="E86" i="10"/>
  <c r="E87" i="10"/>
  <c r="E37" i="10"/>
  <c r="D49" i="10"/>
  <c r="D29" i="10"/>
  <c r="D43" i="10"/>
  <c r="D44" i="10" s="1"/>
  <c r="D30" i="10"/>
  <c r="D51" i="10" l="1"/>
  <c r="D50" i="10"/>
  <c r="E49" i="10"/>
  <c r="E36" i="10"/>
  <c r="E51" i="10" l="1"/>
  <c r="E50" i="10"/>
  <c r="E48" i="12" l="1"/>
  <c r="P56" i="5"/>
  <c r="W56" i="5" s="1"/>
  <c r="D66" i="12"/>
  <c r="D42" i="13" s="1"/>
  <c r="D10" i="8" l="1"/>
  <c r="E14" i="8"/>
  <c r="E15" i="8"/>
  <c r="C16" i="8"/>
  <c r="E16" i="8" s="1"/>
  <c r="C17" i="8"/>
  <c r="C18" i="8"/>
  <c r="E18" i="8" s="1"/>
  <c r="E19" i="8"/>
  <c r="E21" i="8"/>
  <c r="C22" i="8"/>
  <c r="E22" i="8" s="1"/>
  <c r="C23" i="8"/>
  <c r="E25" i="8"/>
  <c r="E26" i="8"/>
  <c r="E27" i="8"/>
  <c r="E28" i="8"/>
  <c r="E29" i="8"/>
  <c r="C30" i="8"/>
  <c r="E31" i="8"/>
  <c r="C32" i="8"/>
  <c r="E32" i="8" s="1"/>
  <c r="C33" i="8"/>
  <c r="E33" i="8" s="1"/>
  <c r="O36" i="5" l="1"/>
  <c r="H32" i="5"/>
  <c r="B36" i="5"/>
  <c r="C41" i="8"/>
  <c r="F46" i="5"/>
  <c r="F45" i="5"/>
  <c r="F42" i="5"/>
  <c r="F41" i="5"/>
  <c r="F40" i="5"/>
  <c r="G25" i="5"/>
  <c r="N25" i="5" s="1"/>
  <c r="U25" i="5" s="1"/>
  <c r="AB25" i="5" s="1"/>
  <c r="AH17" i="3"/>
  <c r="AH18" i="3"/>
  <c r="AH19" i="3"/>
  <c r="AH20" i="3"/>
  <c r="AH10" i="3"/>
  <c r="D21" i="2"/>
  <c r="E58" i="10"/>
  <c r="E59" i="10"/>
  <c r="J17" i="21"/>
  <c r="I17" i="21"/>
  <c r="D24" i="20"/>
  <c r="F136" i="15"/>
  <c r="E96" i="15"/>
  <c r="F96" i="15" s="1"/>
  <c r="G96" i="17" l="1"/>
  <c r="G96" i="16"/>
  <c r="G136" i="15"/>
  <c r="E21" i="2"/>
  <c r="D22" i="2"/>
  <c r="M44" i="5"/>
  <c r="T44" i="5" s="1"/>
  <c r="M43" i="5"/>
  <c r="T43" i="5" s="1"/>
  <c r="M41" i="5"/>
  <c r="T41" i="5" s="1"/>
  <c r="M42" i="5"/>
  <c r="T42" i="5" s="1"/>
  <c r="E41" i="8"/>
  <c r="C10" i="8" s="1"/>
  <c r="E10" i="8" s="1"/>
  <c r="K59" i="10"/>
  <c r="K58" i="10"/>
  <c r="E39" i="5"/>
  <c r="E24" i="5"/>
  <c r="R24" i="5" s="1"/>
  <c r="Y24" i="5" s="1"/>
  <c r="E23" i="5"/>
  <c r="R23" i="5" s="1"/>
  <c r="Y23" i="5" s="1"/>
  <c r="E22" i="5"/>
  <c r="R22" i="5" s="1"/>
  <c r="Y22" i="5" s="1"/>
  <c r="E21" i="5"/>
  <c r="E20" i="5"/>
  <c r="K20" i="5" s="1"/>
  <c r="E13" i="5"/>
  <c r="K13" i="5" s="1"/>
  <c r="K32" i="5" s="1"/>
  <c r="F22" i="2" l="1"/>
  <c r="E22" i="2"/>
  <c r="D23" i="2"/>
  <c r="AA44" i="5"/>
  <c r="AB44" i="5"/>
  <c r="AA43" i="5"/>
  <c r="AB43" i="5"/>
  <c r="AB42" i="5"/>
  <c r="AA42" i="5"/>
  <c r="AB41" i="5"/>
  <c r="AA41" i="5"/>
  <c r="K40" i="5"/>
  <c r="R20" i="5"/>
  <c r="R13" i="5"/>
  <c r="R32" i="5" s="1"/>
  <c r="K39" i="5"/>
  <c r="R21" i="5"/>
  <c r="E42" i="5"/>
  <c r="E40" i="5"/>
  <c r="E43" i="5" s="1"/>
  <c r="G149" i="17"/>
  <c r="G135" i="17"/>
  <c r="G37" i="16"/>
  <c r="G37" i="17" s="1"/>
  <c r="J15" i="21"/>
  <c r="I15" i="21"/>
  <c r="J13" i="21"/>
  <c r="I13" i="21"/>
  <c r="C45" i="19"/>
  <c r="C39" i="19"/>
  <c r="D39" i="19" s="1"/>
  <c r="C38" i="19"/>
  <c r="D38" i="19" s="1"/>
  <c r="C37" i="19"/>
  <c r="D37" i="19" s="1"/>
  <c r="M10" i="18"/>
  <c r="N10" i="18" s="1"/>
  <c r="O10" i="18" s="1"/>
  <c r="P10" i="18" s="1"/>
  <c r="Q10" i="18" s="1"/>
  <c r="R10" i="18" s="1"/>
  <c r="S10" i="18" s="1"/>
  <c r="T10" i="18" s="1"/>
  <c r="U10" i="18" s="1"/>
  <c r="V10" i="18" s="1"/>
  <c r="W10" i="18" s="1"/>
  <c r="X10" i="18" s="1"/>
  <c r="Y10" i="18" s="1"/>
  <c r="H10" i="18"/>
  <c r="I10" i="18" s="1"/>
  <c r="J10" i="18" s="1"/>
  <c r="E10" i="18"/>
  <c r="F10" i="18" s="1"/>
  <c r="F196" i="17"/>
  <c r="F195" i="17"/>
  <c r="F194" i="17"/>
  <c r="G176" i="17"/>
  <c r="G175" i="17"/>
  <c r="G174" i="17"/>
  <c r="G173" i="17"/>
  <c r="G172" i="17"/>
  <c r="F172" i="17"/>
  <c r="C165" i="17"/>
  <c r="C164" i="17"/>
  <c r="C163" i="17"/>
  <c r="C162" i="17"/>
  <c r="C161" i="17"/>
  <c r="C160" i="17"/>
  <c r="C159" i="17"/>
  <c r="C158" i="17"/>
  <c r="C157" i="17"/>
  <c r="G150" i="17"/>
  <c r="C150" i="17"/>
  <c r="D149" i="17"/>
  <c r="C149" i="17"/>
  <c r="G144" i="17"/>
  <c r="F144" i="17"/>
  <c r="C144" i="17"/>
  <c r="G143" i="17"/>
  <c r="C143" i="17"/>
  <c r="D135" i="17"/>
  <c r="C135" i="17"/>
  <c r="D134" i="17"/>
  <c r="F134" i="17" s="1"/>
  <c r="C134" i="17"/>
  <c r="G107" i="17"/>
  <c r="C99" i="17"/>
  <c r="C98" i="17"/>
  <c r="C97" i="17"/>
  <c r="C96" i="17"/>
  <c r="C95" i="17"/>
  <c r="C94" i="17"/>
  <c r="C93" i="17"/>
  <c r="C92" i="17"/>
  <c r="C91" i="17"/>
  <c r="C89" i="17"/>
  <c r="C88" i="17"/>
  <c r="C87" i="17"/>
  <c r="C86" i="17"/>
  <c r="C85" i="17"/>
  <c r="C84" i="17"/>
  <c r="C83" i="17"/>
  <c r="C82" i="17"/>
  <c r="C81" i="17"/>
  <c r="C80" i="17"/>
  <c r="C72" i="17"/>
  <c r="C71" i="17"/>
  <c r="C70" i="17"/>
  <c r="C69" i="17"/>
  <c r="C68" i="17"/>
  <c r="C67" i="17"/>
  <c r="C66" i="17"/>
  <c r="C65" i="17"/>
  <c r="C64" i="17"/>
  <c r="C63" i="17"/>
  <c r="C62" i="17"/>
  <c r="C61" i="17"/>
  <c r="C60" i="17"/>
  <c r="C59" i="17"/>
  <c r="C58" i="17"/>
  <c r="C57" i="17"/>
  <c r="C56" i="17"/>
  <c r="C47" i="17"/>
  <c r="D45" i="17"/>
  <c r="C45" i="17"/>
  <c r="D44" i="17"/>
  <c r="C44" i="17"/>
  <c r="C43" i="17"/>
  <c r="C42" i="17"/>
  <c r="C41" i="17"/>
  <c r="C40" i="17"/>
  <c r="C39" i="17"/>
  <c r="C38" i="17"/>
  <c r="F29" i="17"/>
  <c r="F13" i="17"/>
  <c r="F196" i="16"/>
  <c r="F195" i="16"/>
  <c r="F194" i="16"/>
  <c r="F172" i="16"/>
  <c r="I172" i="16" s="1"/>
  <c r="C165" i="16"/>
  <c r="C164" i="16"/>
  <c r="C163" i="16"/>
  <c r="C162" i="16"/>
  <c r="C161" i="16"/>
  <c r="C160" i="16"/>
  <c r="C159" i="16"/>
  <c r="C158" i="16"/>
  <c r="C157" i="16"/>
  <c r="G150" i="16"/>
  <c r="D150" i="16"/>
  <c r="E150" i="16" s="1"/>
  <c r="G149" i="16"/>
  <c r="D149" i="16"/>
  <c r="G144" i="16"/>
  <c r="H144" i="16" s="1"/>
  <c r="I144" i="16" s="1"/>
  <c r="D144" i="16"/>
  <c r="G143" i="16"/>
  <c r="D143" i="16"/>
  <c r="E143" i="16" s="1"/>
  <c r="F143" i="16" s="1"/>
  <c r="C134" i="16"/>
  <c r="F124" i="16"/>
  <c r="H124" i="16" s="1"/>
  <c r="I124" i="16" s="1"/>
  <c r="F123" i="16"/>
  <c r="H123" i="16" s="1"/>
  <c r="I123" i="16" s="1"/>
  <c r="E109" i="16"/>
  <c r="D109" i="17" s="1"/>
  <c r="F109" i="17" s="1"/>
  <c r="H109" i="17" s="1"/>
  <c r="I109" i="17" s="1"/>
  <c r="E108" i="16"/>
  <c r="D108" i="17" s="1"/>
  <c r="E108" i="17" s="1"/>
  <c r="F108" i="17" s="1"/>
  <c r="H108" i="17" s="1"/>
  <c r="I108" i="17" s="1"/>
  <c r="G107" i="16"/>
  <c r="C99" i="16"/>
  <c r="D98" i="16"/>
  <c r="E98" i="16" s="1"/>
  <c r="C98" i="16"/>
  <c r="D97" i="16"/>
  <c r="E97" i="16" s="1"/>
  <c r="C97" i="16"/>
  <c r="C96" i="16"/>
  <c r="D95" i="16"/>
  <c r="E95" i="16" s="1"/>
  <c r="D95" i="17" s="1"/>
  <c r="E95" i="17" s="1"/>
  <c r="F95" i="17" s="1"/>
  <c r="C95" i="16"/>
  <c r="D94" i="16"/>
  <c r="E94" i="16" s="1"/>
  <c r="C94" i="16"/>
  <c r="D93" i="16"/>
  <c r="E93" i="16" s="1"/>
  <c r="C93" i="16"/>
  <c r="D92" i="16"/>
  <c r="E92" i="16" s="1"/>
  <c r="D92" i="17" s="1"/>
  <c r="E92" i="17" s="1"/>
  <c r="F92" i="17" s="1"/>
  <c r="C92" i="16"/>
  <c r="D91" i="16"/>
  <c r="E91" i="16" s="1"/>
  <c r="C91" i="16"/>
  <c r="D89" i="16"/>
  <c r="E89" i="16" s="1"/>
  <c r="C89" i="16"/>
  <c r="C88" i="16"/>
  <c r="D87" i="16"/>
  <c r="E87" i="16" s="1"/>
  <c r="C87" i="16"/>
  <c r="D86" i="16"/>
  <c r="E86" i="16" s="1"/>
  <c r="C86" i="16"/>
  <c r="D85" i="16"/>
  <c r="E85" i="16" s="1"/>
  <c r="D85" i="17" s="1"/>
  <c r="F85" i="17" s="1"/>
  <c r="H85" i="17" s="1"/>
  <c r="I85" i="17" s="1"/>
  <c r="C85" i="16"/>
  <c r="D84" i="16"/>
  <c r="C84" i="16"/>
  <c r="D83" i="16"/>
  <c r="C83" i="16"/>
  <c r="D82" i="16"/>
  <c r="C82" i="16"/>
  <c r="D81" i="16"/>
  <c r="E81" i="16" s="1"/>
  <c r="C81" i="16"/>
  <c r="D80" i="16"/>
  <c r="E80" i="16" s="1"/>
  <c r="C80" i="16"/>
  <c r="C71" i="16"/>
  <c r="D70" i="16"/>
  <c r="E70" i="16" s="1"/>
  <c r="C70" i="16"/>
  <c r="C69" i="16"/>
  <c r="C68" i="16"/>
  <c r="D67" i="16"/>
  <c r="E67" i="16" s="1"/>
  <c r="C67" i="16"/>
  <c r="D66" i="16"/>
  <c r="E66" i="16" s="1"/>
  <c r="D66" i="17" s="1"/>
  <c r="E66" i="17" s="1"/>
  <c r="C66" i="16"/>
  <c r="D65" i="16"/>
  <c r="E65" i="16" s="1"/>
  <c r="C65" i="16"/>
  <c r="D64" i="16"/>
  <c r="E64" i="16" s="1"/>
  <c r="C64" i="16"/>
  <c r="D63" i="16"/>
  <c r="E63" i="16" s="1"/>
  <c r="D63" i="17" s="1"/>
  <c r="E63" i="17" s="1"/>
  <c r="C63" i="16"/>
  <c r="C62" i="16"/>
  <c r="C61" i="16"/>
  <c r="D60" i="16"/>
  <c r="E60" i="16" s="1"/>
  <c r="D60" i="17" s="1"/>
  <c r="E60" i="17" s="1"/>
  <c r="C60" i="16"/>
  <c r="C59" i="16"/>
  <c r="D58" i="16"/>
  <c r="E58" i="16" s="1"/>
  <c r="C58" i="16"/>
  <c r="C57" i="16"/>
  <c r="C56" i="16"/>
  <c r="C47" i="16"/>
  <c r="C45" i="16"/>
  <c r="C44" i="16"/>
  <c r="C43" i="16"/>
  <c r="C42" i="16"/>
  <c r="G41" i="16"/>
  <c r="C41" i="16"/>
  <c r="G40" i="16"/>
  <c r="C39" i="16"/>
  <c r="C38" i="16"/>
  <c r="H37" i="16"/>
  <c r="C37" i="16"/>
  <c r="C37" i="17" s="1"/>
  <c r="F28" i="17"/>
  <c r="F25" i="17"/>
  <c r="D66" i="6"/>
  <c r="G66" i="6" s="1"/>
  <c r="F20" i="17"/>
  <c r="H20" i="17" s="1"/>
  <c r="D14" i="17"/>
  <c r="F13" i="16"/>
  <c r="D12" i="16"/>
  <c r="E12" i="16" s="1"/>
  <c r="F12" i="16" s="1"/>
  <c r="H197" i="15"/>
  <c r="H196" i="15"/>
  <c r="H195" i="15"/>
  <c r="H173" i="15"/>
  <c r="F151" i="15"/>
  <c r="G151" i="15" s="1"/>
  <c r="G150" i="15"/>
  <c r="G165" i="15"/>
  <c r="G167" i="15" s="1"/>
  <c r="G120" i="17"/>
  <c r="G113" i="15"/>
  <c r="H113" i="15" s="1"/>
  <c r="F110" i="15"/>
  <c r="F107" i="15"/>
  <c r="D107" i="16"/>
  <c r="D88" i="15"/>
  <c r="H86" i="15"/>
  <c r="D68" i="15"/>
  <c r="G68" i="15" s="1"/>
  <c r="G66" i="15"/>
  <c r="H66" i="15" s="1"/>
  <c r="G29" i="15"/>
  <c r="H29" i="15" s="1"/>
  <c r="G27" i="15"/>
  <c r="H27" i="15" s="1"/>
  <c r="G26" i="15"/>
  <c r="H26" i="15" s="1"/>
  <c r="G25" i="15"/>
  <c r="H25" i="15" s="1"/>
  <c r="G24" i="15"/>
  <c r="H24" i="15" s="1"/>
  <c r="G23" i="15"/>
  <c r="H23" i="15" s="1"/>
  <c r="G22" i="15"/>
  <c r="G21" i="15"/>
  <c r="H21" i="15" s="1"/>
  <c r="H20" i="15"/>
  <c r="H19" i="15"/>
  <c r="C16" i="15"/>
  <c r="C15" i="15"/>
  <c r="C14" i="15"/>
  <c r="G13" i="15"/>
  <c r="H13" i="15" s="1"/>
  <c r="B30" i="14"/>
  <c r="D22" i="14"/>
  <c r="C22" i="14"/>
  <c r="D20" i="14"/>
  <c r="C20" i="14"/>
  <c r="D19" i="14"/>
  <c r="C19" i="14"/>
  <c r="D16" i="14"/>
  <c r="B30" i="13"/>
  <c r="D22" i="13"/>
  <c r="C22" i="13"/>
  <c r="C20" i="13"/>
  <c r="D19" i="13"/>
  <c r="C19" i="13"/>
  <c r="D16" i="13"/>
  <c r="D58" i="12"/>
  <c r="B54" i="12"/>
  <c r="B28" i="13" s="1"/>
  <c r="B28" i="14" s="1"/>
  <c r="D48" i="12"/>
  <c r="C48" i="12"/>
  <c r="D45" i="12"/>
  <c r="C45" i="12"/>
  <c r="C14" i="13"/>
  <c r="C32" i="11"/>
  <c r="AB32" i="11" s="1"/>
  <c r="C12" i="11"/>
  <c r="E66" i="10"/>
  <c r="E65" i="10"/>
  <c r="E64" i="10"/>
  <c r="E44" i="10"/>
  <c r="E43" i="10"/>
  <c r="E30" i="10"/>
  <c r="E29" i="10"/>
  <c r="AA12" i="11"/>
  <c r="E17" i="7"/>
  <c r="E15" i="7"/>
  <c r="J15" i="7" s="1"/>
  <c r="G13" i="7"/>
  <c r="F12" i="7"/>
  <c r="E13" i="7"/>
  <c r="D12" i="7"/>
  <c r="G10" i="7"/>
  <c r="F10" i="7"/>
  <c r="E10" i="7"/>
  <c r="D65" i="6"/>
  <c r="G65" i="6" s="1"/>
  <c r="AB57" i="5"/>
  <c r="Z57" i="5"/>
  <c r="AA57" i="5"/>
  <c r="U57" i="5"/>
  <c r="S57" i="5"/>
  <c r="T57" i="5"/>
  <c r="N57" i="5"/>
  <c r="L57" i="5"/>
  <c r="AB55" i="5"/>
  <c r="AA55" i="5"/>
  <c r="Z55" i="5"/>
  <c r="U55" i="5"/>
  <c r="T55" i="5"/>
  <c r="S55" i="5"/>
  <c r="N55" i="5"/>
  <c r="M55" i="5"/>
  <c r="L55" i="5"/>
  <c r="M54" i="5"/>
  <c r="AB53" i="5"/>
  <c r="AA53" i="5"/>
  <c r="Z53" i="5"/>
  <c r="U53" i="5"/>
  <c r="T53" i="5"/>
  <c r="S53" i="5"/>
  <c r="N53" i="5"/>
  <c r="L53" i="5"/>
  <c r="M57" i="5"/>
  <c r="G46" i="5"/>
  <c r="B46" i="5"/>
  <c r="W45" i="5"/>
  <c r="I45" i="5"/>
  <c r="G45" i="5"/>
  <c r="B45" i="5"/>
  <c r="G42" i="5"/>
  <c r="N42" i="5" s="1"/>
  <c r="U42" i="5" s="1"/>
  <c r="B42" i="5"/>
  <c r="G41" i="5"/>
  <c r="N41" i="5" s="1"/>
  <c r="U41" i="5" s="1"/>
  <c r="B41" i="5"/>
  <c r="G40" i="5"/>
  <c r="B40" i="5"/>
  <c r="W39" i="5"/>
  <c r="G39" i="5"/>
  <c r="F39" i="5"/>
  <c r="B39" i="5"/>
  <c r="K36" i="5"/>
  <c r="G35" i="5"/>
  <c r="F35" i="5"/>
  <c r="B35" i="5"/>
  <c r="G24" i="5"/>
  <c r="N24" i="5" s="1"/>
  <c r="U24" i="5" s="1"/>
  <c r="AB24" i="5" s="1"/>
  <c r="F24" i="5"/>
  <c r="M24" i="5" s="1"/>
  <c r="T24" i="5" s="1"/>
  <c r="AA24" i="5" s="1"/>
  <c r="L23" i="5"/>
  <c r="G23" i="5"/>
  <c r="N23" i="5" s="1"/>
  <c r="U23" i="5" s="1"/>
  <c r="AB23" i="5" s="1"/>
  <c r="F23" i="5"/>
  <c r="M23" i="5" s="1"/>
  <c r="T23" i="5" s="1"/>
  <c r="AA23" i="5" s="1"/>
  <c r="G22" i="5"/>
  <c r="N22" i="5" s="1"/>
  <c r="U22" i="5" s="1"/>
  <c r="AB22" i="5" s="1"/>
  <c r="F22" i="5"/>
  <c r="M22" i="5" s="1"/>
  <c r="T22" i="5" s="1"/>
  <c r="AA22" i="5" s="1"/>
  <c r="G21" i="5"/>
  <c r="N21" i="5" s="1"/>
  <c r="F21" i="5"/>
  <c r="M21" i="5" s="1"/>
  <c r="L20" i="5"/>
  <c r="G20" i="5"/>
  <c r="N20" i="5" s="1"/>
  <c r="F20" i="5"/>
  <c r="M20" i="5" s="1"/>
  <c r="J80" i="4"/>
  <c r="H80" i="4"/>
  <c r="F80" i="4"/>
  <c r="J70" i="4"/>
  <c r="H70" i="4"/>
  <c r="F70" i="4"/>
  <c r="J64" i="4"/>
  <c r="H64" i="4"/>
  <c r="F64" i="4"/>
  <c r="J59" i="4"/>
  <c r="H59" i="4"/>
  <c r="C31" i="4"/>
  <c r="AZ45" i="3"/>
  <c r="G45" i="3"/>
  <c r="J45" i="3" s="1"/>
  <c r="M45" i="3" s="1"/>
  <c r="P45" i="3" s="1"/>
  <c r="S45" i="3" s="1"/>
  <c r="V45" i="3" s="1"/>
  <c r="Y45" i="3" s="1"/>
  <c r="AB45" i="3" s="1"/>
  <c r="AE45" i="3" s="1"/>
  <c r="G42" i="3"/>
  <c r="J42" i="3" s="1"/>
  <c r="AK41" i="3"/>
  <c r="AN41" i="3" s="1"/>
  <c r="AQ41" i="3" s="1"/>
  <c r="G41" i="3"/>
  <c r="G40" i="3"/>
  <c r="J40" i="3" s="1"/>
  <c r="M40" i="3" s="1"/>
  <c r="P40" i="3" s="1"/>
  <c r="S40" i="3" s="1"/>
  <c r="V40" i="3" s="1"/>
  <c r="Y40" i="3" s="1"/>
  <c r="AB40" i="3" s="1"/>
  <c r="AK40" i="3" s="1"/>
  <c r="AN40" i="3" s="1"/>
  <c r="AQ40" i="3" s="1"/>
  <c r="AT40" i="3" s="1"/>
  <c r="AW40" i="3" s="1"/>
  <c r="AZ40" i="3" s="1"/>
  <c r="AZ39" i="3"/>
  <c r="BC39" i="3" s="1"/>
  <c r="BF39" i="3" s="1"/>
  <c r="BI39" i="3" s="1"/>
  <c r="BL39" i="3" s="1"/>
  <c r="BO39" i="3" s="1"/>
  <c r="BR39" i="3" s="1"/>
  <c r="BU39" i="3" s="1"/>
  <c r="BX39" i="3" s="1"/>
  <c r="G39" i="3"/>
  <c r="J39" i="3" s="1"/>
  <c r="M39" i="3" s="1"/>
  <c r="P39" i="3" s="1"/>
  <c r="S39" i="3" s="1"/>
  <c r="V39" i="3" s="1"/>
  <c r="Y39" i="3" s="1"/>
  <c r="AB39" i="3" s="1"/>
  <c r="AK39" i="3" s="1"/>
  <c r="AN39" i="3" s="1"/>
  <c r="AQ39" i="3" s="1"/>
  <c r="AT39" i="3" s="1"/>
  <c r="AZ38" i="3"/>
  <c r="BC38" i="3" s="1"/>
  <c r="AK34" i="3"/>
  <c r="AN34" i="3" s="1"/>
  <c r="AQ34" i="3" s="1"/>
  <c r="AT34" i="3" s="1"/>
  <c r="V34" i="3"/>
  <c r="Y34" i="3" s="1"/>
  <c r="AB34" i="3" s="1"/>
  <c r="G34" i="3"/>
  <c r="J34" i="3" s="1"/>
  <c r="M34" i="3" s="1"/>
  <c r="P34" i="3" s="1"/>
  <c r="V33" i="3"/>
  <c r="AH30" i="3"/>
  <c r="AK29" i="3"/>
  <c r="G29" i="3"/>
  <c r="G25" i="3"/>
  <c r="J25" i="3" s="1"/>
  <c r="M25" i="3" s="1"/>
  <c r="P25" i="3" s="1"/>
  <c r="S25" i="3" s="1"/>
  <c r="V25" i="3" s="1"/>
  <c r="Y25" i="3" s="1"/>
  <c r="AB25" i="3" s="1"/>
  <c r="G24" i="3"/>
  <c r="J24" i="3" s="1"/>
  <c r="M24" i="3" s="1"/>
  <c r="P24" i="3" s="1"/>
  <c r="S24" i="3" s="1"/>
  <c r="V24" i="3" s="1"/>
  <c r="Y24" i="3" s="1"/>
  <c r="AB24" i="3" s="1"/>
  <c r="AZ22" i="3"/>
  <c r="BC22" i="3" s="1"/>
  <c r="BF22" i="3" s="1"/>
  <c r="AK22" i="3"/>
  <c r="AN22" i="3" s="1"/>
  <c r="V22" i="3"/>
  <c r="Y22" i="3" s="1"/>
  <c r="AB22" i="3" s="1"/>
  <c r="G22" i="3"/>
  <c r="G21" i="3"/>
  <c r="J21" i="3" s="1"/>
  <c r="M21" i="3" s="1"/>
  <c r="P21" i="3" s="1"/>
  <c r="S21" i="3" s="1"/>
  <c r="V21" i="3" s="1"/>
  <c r="Y21" i="3" s="1"/>
  <c r="AB21" i="3" s="1"/>
  <c r="AE21" i="3" s="1"/>
  <c r="AH21" i="3" s="1"/>
  <c r="AK21" i="3" s="1"/>
  <c r="AN21" i="3" s="1"/>
  <c r="AQ21" i="3" s="1"/>
  <c r="AT21" i="3" s="1"/>
  <c r="AW21" i="3" s="1"/>
  <c r="AZ21" i="3" s="1"/>
  <c r="BC21" i="3" s="1"/>
  <c r="BF21" i="3" s="1"/>
  <c r="BI21" i="3" s="1"/>
  <c r="BL21" i="3" s="1"/>
  <c r="BO21" i="3" s="1"/>
  <c r="BR21" i="3" s="1"/>
  <c r="BU21" i="3" s="1"/>
  <c r="BX21" i="3" s="1"/>
  <c r="AW20" i="3"/>
  <c r="AK20" i="3"/>
  <c r="AN20" i="3" s="1"/>
  <c r="AQ20" i="3" s="1"/>
  <c r="AT20" i="3" s="1"/>
  <c r="G20" i="3"/>
  <c r="AK19" i="3"/>
  <c r="G19" i="3"/>
  <c r="AW18" i="3"/>
  <c r="AK18" i="3"/>
  <c r="AW17" i="3"/>
  <c r="AK17" i="3"/>
  <c r="G17" i="3"/>
  <c r="AW10" i="3"/>
  <c r="C22" i="2"/>
  <c r="C23" i="2" s="1"/>
  <c r="C24" i="2" s="1"/>
  <c r="C25" i="2" s="1"/>
  <c r="C26" i="2" s="1"/>
  <c r="C27" i="2" s="1"/>
  <c r="C28" i="2" s="1"/>
  <c r="C29" i="2" s="1"/>
  <c r="C30" i="2" s="1"/>
  <c r="C31" i="2" s="1"/>
  <c r="C32" i="2" s="1"/>
  <c r="C33" i="2" s="1"/>
  <c r="C34" i="2" s="1"/>
  <c r="C35" i="2" s="1"/>
  <c r="C36" i="2" s="1"/>
  <c r="C37" i="2" s="1"/>
  <c r="C38" i="2" s="1"/>
  <c r="C39" i="2" s="1"/>
  <c r="C40" i="2" s="1"/>
  <c r="C41" i="2" s="1"/>
  <c r="C42" i="2" s="1"/>
  <c r="C43" i="2" s="1"/>
  <c r="C44" i="2" s="1"/>
  <c r="C45" i="2" s="1"/>
  <c r="B22" i="2"/>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G88" i="15" l="1"/>
  <c r="H88" i="15" s="1"/>
  <c r="D98" i="17"/>
  <c r="F98" i="17" s="1"/>
  <c r="H98" i="17" s="1"/>
  <c r="I98" i="17" s="1"/>
  <c r="F98" i="16"/>
  <c r="H98" i="16" s="1"/>
  <c r="I98" i="16" s="1"/>
  <c r="I23" i="2"/>
  <c r="E14" i="11" s="1"/>
  <c r="E11" i="11" s="1"/>
  <c r="E11" i="18" s="1"/>
  <c r="F23" i="2"/>
  <c r="G23" i="2" s="1"/>
  <c r="H23" i="2" s="1"/>
  <c r="E23" i="2"/>
  <c r="D24" i="2"/>
  <c r="I22" i="2"/>
  <c r="D14" i="11" s="1"/>
  <c r="D11" i="11" s="1"/>
  <c r="D11" i="18" s="1"/>
  <c r="G22" i="2"/>
  <c r="H68" i="15"/>
  <c r="G110" i="15"/>
  <c r="H110" i="15" s="1"/>
  <c r="T21" i="5"/>
  <c r="M37" i="5"/>
  <c r="M45" i="5"/>
  <c r="Y21" i="5"/>
  <c r="Y45" i="5" s="1"/>
  <c r="R45" i="5"/>
  <c r="R39" i="5"/>
  <c r="R35" i="5"/>
  <c r="Y13" i="5"/>
  <c r="Y32" i="5" s="1"/>
  <c r="T20" i="5"/>
  <c r="AA20" i="5" s="1"/>
  <c r="M36" i="5"/>
  <c r="M40" i="5"/>
  <c r="Y20" i="5"/>
  <c r="R40" i="5"/>
  <c r="R36" i="5"/>
  <c r="Z23" i="5"/>
  <c r="S23" i="5"/>
  <c r="S20" i="5"/>
  <c r="Z20" i="5"/>
  <c r="U21" i="5"/>
  <c r="N45" i="5"/>
  <c r="N40" i="5"/>
  <c r="U20" i="5"/>
  <c r="N36" i="5"/>
  <c r="T22" i="3"/>
  <c r="U22" i="3" s="1"/>
  <c r="T24" i="3"/>
  <c r="U24" i="3" s="1"/>
  <c r="D15" i="17"/>
  <c r="F15" i="17" s="1"/>
  <c r="F14" i="17"/>
  <c r="H14" i="17" s="1"/>
  <c r="I14" i="17" s="1"/>
  <c r="H13" i="17"/>
  <c r="I13" i="17" s="1"/>
  <c r="H25" i="17"/>
  <c r="I25" i="17" s="1"/>
  <c r="H122" i="16"/>
  <c r="I20" i="17"/>
  <c r="H37" i="17"/>
  <c r="I172" i="17"/>
  <c r="D14" i="19" s="1"/>
  <c r="D54" i="19" s="1"/>
  <c r="H29" i="17"/>
  <c r="I29" i="17" s="1"/>
  <c r="H28" i="17"/>
  <c r="I28" i="17" s="1"/>
  <c r="H29" i="16"/>
  <c r="I29" i="16" s="1"/>
  <c r="F95" i="16"/>
  <c r="H95" i="16" s="1"/>
  <c r="I95" i="16" s="1"/>
  <c r="H66" i="17"/>
  <c r="I66" i="17" s="1"/>
  <c r="H60" i="17"/>
  <c r="I60" i="17" s="1"/>
  <c r="D10" i="7"/>
  <c r="D79" i="4"/>
  <c r="E45" i="5"/>
  <c r="E41" i="5"/>
  <c r="D15" i="7"/>
  <c r="D17" i="7"/>
  <c r="D13" i="7"/>
  <c r="W28" i="5"/>
  <c r="AU34" i="3"/>
  <c r="AV34" i="3" s="1"/>
  <c r="AZ17" i="3"/>
  <c r="BC17" i="3" s="1"/>
  <c r="BF17" i="3" s="1"/>
  <c r="AZ10" i="3"/>
  <c r="BC10" i="3" s="1"/>
  <c r="BF10" i="3" s="1"/>
  <c r="AZ18" i="3"/>
  <c r="BC18" i="3" s="1"/>
  <c r="BF18" i="3" s="1"/>
  <c r="AZ20" i="3"/>
  <c r="BC20" i="3" s="1"/>
  <c r="BF20" i="3" s="1"/>
  <c r="BI20" i="3" s="1"/>
  <c r="BL20" i="3" s="1"/>
  <c r="AZ19" i="3"/>
  <c r="BC19" i="3" s="1"/>
  <c r="BF19" i="3" s="1"/>
  <c r="H65" i="6"/>
  <c r="N65" i="6" s="1"/>
  <c r="G73" i="6" s="1"/>
  <c r="H66" i="6"/>
  <c r="N66" i="6" s="1"/>
  <c r="G74" i="6" s="1"/>
  <c r="H22" i="15"/>
  <c r="H69" i="16"/>
  <c r="I69" i="16" s="1"/>
  <c r="H13" i="16"/>
  <c r="I13" i="16" s="1"/>
  <c r="J82" i="4"/>
  <c r="P46" i="5"/>
  <c r="P40" i="5"/>
  <c r="P25" i="5"/>
  <c r="P23" i="5"/>
  <c r="P22" i="5"/>
  <c r="I40" i="5"/>
  <c r="I42" i="5"/>
  <c r="W42" i="5"/>
  <c r="W46" i="5"/>
  <c r="H82" i="4"/>
  <c r="L28" i="5"/>
  <c r="P42" i="5"/>
  <c r="L26" i="5"/>
  <c r="T39" i="5"/>
  <c r="S32" i="5"/>
  <c r="G38" i="3"/>
  <c r="J38" i="3" s="1"/>
  <c r="M38" i="3" s="1"/>
  <c r="P38" i="3" s="1"/>
  <c r="S38" i="3" s="1"/>
  <c r="V38" i="3" s="1"/>
  <c r="Y38" i="3" s="1"/>
  <c r="AB38" i="3" s="1"/>
  <c r="AE38" i="3" s="1"/>
  <c r="AK38" i="3" s="1"/>
  <c r="AN38" i="3" s="1"/>
  <c r="P35" i="5"/>
  <c r="S35" i="3"/>
  <c r="P13" i="5"/>
  <c r="W24" i="5"/>
  <c r="P32" i="5"/>
  <c r="T35" i="5"/>
  <c r="T36" i="5"/>
  <c r="I39" i="5"/>
  <c r="P20" i="5"/>
  <c r="K35" i="5"/>
  <c r="L40" i="5"/>
  <c r="H57" i="17"/>
  <c r="I57" i="17" s="1"/>
  <c r="H59" i="10"/>
  <c r="H58" i="10"/>
  <c r="N45" i="3"/>
  <c r="O45" i="3" s="1"/>
  <c r="I18" i="3"/>
  <c r="AR20" i="3"/>
  <c r="AS20" i="3" s="1"/>
  <c r="AR21" i="3"/>
  <c r="AS21" i="3" s="1"/>
  <c r="W33" i="3"/>
  <c r="AI29" i="3"/>
  <c r="AI30" i="3" s="1"/>
  <c r="G152" i="15"/>
  <c r="G166" i="15" s="1"/>
  <c r="H149" i="16"/>
  <c r="I149" i="16" s="1"/>
  <c r="H149" i="17"/>
  <c r="I149" i="17" s="1"/>
  <c r="H135" i="16"/>
  <c r="I135" i="16" s="1"/>
  <c r="H135" i="17"/>
  <c r="I135" i="17" s="1"/>
  <c r="H134" i="17"/>
  <c r="I134" i="17" s="1"/>
  <c r="H134" i="16"/>
  <c r="H95" i="17"/>
  <c r="I95" i="17" s="1"/>
  <c r="H69" i="17"/>
  <c r="I69" i="17" s="1"/>
  <c r="H63" i="17"/>
  <c r="I63" i="17" s="1"/>
  <c r="H143" i="16"/>
  <c r="H164" i="16" s="1"/>
  <c r="J12" i="11"/>
  <c r="P12" i="11"/>
  <c r="V12" i="11"/>
  <c r="S12" i="11"/>
  <c r="H12" i="11"/>
  <c r="N12" i="11"/>
  <c r="T12" i="11"/>
  <c r="Z12" i="11"/>
  <c r="Q12" i="11"/>
  <c r="W12" i="11"/>
  <c r="L12" i="11"/>
  <c r="R12" i="11"/>
  <c r="X12" i="11"/>
  <c r="I12" i="11"/>
  <c r="O12" i="11"/>
  <c r="U12" i="11"/>
  <c r="BP39" i="3"/>
  <c r="BQ39" i="3" s="1"/>
  <c r="Z40" i="3"/>
  <c r="AA40" i="3" s="1"/>
  <c r="H42" i="3"/>
  <c r="I42" i="3" s="1"/>
  <c r="J17" i="3"/>
  <c r="AN19" i="3"/>
  <c r="AE22" i="3"/>
  <c r="J20" i="3"/>
  <c r="J18" i="3"/>
  <c r="AQ22" i="3"/>
  <c r="AW34" i="3"/>
  <c r="AN17" i="3"/>
  <c r="AE24" i="3"/>
  <c r="AH24" i="3" s="1"/>
  <c r="AK24" i="3" s="1"/>
  <c r="AN24" i="3" s="1"/>
  <c r="AQ24" i="3" s="1"/>
  <c r="J19" i="3"/>
  <c r="AN18" i="3"/>
  <c r="BI22" i="3"/>
  <c r="AH25" i="3"/>
  <c r="AK25" i="3" s="1"/>
  <c r="AN25" i="3" s="1"/>
  <c r="AQ25" i="3" s="1"/>
  <c r="J22" i="3"/>
  <c r="D30" i="3"/>
  <c r="BC40" i="3"/>
  <c r="M42" i="3"/>
  <c r="AK10" i="3"/>
  <c r="G30" i="3"/>
  <c r="S30" i="3"/>
  <c r="AH35" i="3"/>
  <c r="AK33" i="3"/>
  <c r="J41" i="3"/>
  <c r="AT41" i="3"/>
  <c r="AW41" i="3" s="1"/>
  <c r="AZ41" i="3" s="1"/>
  <c r="AK45" i="3"/>
  <c r="F14" i="16"/>
  <c r="D68" i="16"/>
  <c r="E68" i="16" s="1"/>
  <c r="J29" i="3"/>
  <c r="V29" i="3"/>
  <c r="AN29" i="3"/>
  <c r="AK30" i="3"/>
  <c r="D35" i="3"/>
  <c r="G33" i="3"/>
  <c r="V35" i="3"/>
  <c r="Y33" i="3"/>
  <c r="BC45" i="3"/>
  <c r="P45" i="5"/>
  <c r="BF38" i="3"/>
  <c r="W25" i="5"/>
  <c r="U35" i="5"/>
  <c r="P21" i="5"/>
  <c r="L25" i="5"/>
  <c r="D64" i="17"/>
  <c r="E64" i="17" s="1"/>
  <c r="H64" i="16"/>
  <c r="I64" i="16" s="1"/>
  <c r="L24" i="5"/>
  <c r="I32" i="5"/>
  <c r="L32" i="5"/>
  <c r="I36" i="5"/>
  <c r="L21" i="5"/>
  <c r="P26" i="5"/>
  <c r="N32" i="5"/>
  <c r="L37" i="5"/>
  <c r="S37" i="5" s="1"/>
  <c r="P39" i="5"/>
  <c r="I46" i="5"/>
  <c r="P24" i="5"/>
  <c r="W40" i="5"/>
  <c r="U36" i="5"/>
  <c r="L39" i="5"/>
  <c r="C29" i="11"/>
  <c r="AB29" i="11" s="1"/>
  <c r="W26" i="5"/>
  <c r="P28" i="5"/>
  <c r="I35" i="5"/>
  <c r="P36" i="5"/>
  <c r="I41" i="5"/>
  <c r="P41" i="5"/>
  <c r="W41" i="5"/>
  <c r="F26" i="17"/>
  <c r="H26" i="17" s="1"/>
  <c r="I26" i="17" s="1"/>
  <c r="H26" i="16"/>
  <c r="I26" i="16" s="1"/>
  <c r="H61" i="16"/>
  <c r="I61" i="16" s="1"/>
  <c r="O47" i="5"/>
  <c r="M53" i="5"/>
  <c r="Y12" i="11"/>
  <c r="I37" i="16"/>
  <c r="G107" i="15"/>
  <c r="H107" i="15" s="1"/>
  <c r="H114" i="15" s="1"/>
  <c r="F24" i="17"/>
  <c r="H24" i="17" s="1"/>
  <c r="I24" i="17" s="1"/>
  <c r="H24" i="16"/>
  <c r="I24" i="16" s="1"/>
  <c r="F27" i="17"/>
  <c r="H27" i="17" s="1"/>
  <c r="I27" i="17" s="1"/>
  <c r="H27" i="16"/>
  <c r="I27" i="16" s="1"/>
  <c r="H59" i="16"/>
  <c r="I59" i="16" s="1"/>
  <c r="H62" i="16"/>
  <c r="I62" i="16" s="1"/>
  <c r="D70" i="17"/>
  <c r="E70" i="17" s="1"/>
  <c r="F70" i="16"/>
  <c r="H70" i="16" s="1"/>
  <c r="I70" i="16" s="1"/>
  <c r="H108" i="16"/>
  <c r="I108" i="16" s="1"/>
  <c r="H110" i="16"/>
  <c r="I110" i="16" s="1"/>
  <c r="F21" i="16"/>
  <c r="H21" i="16" s="1"/>
  <c r="I21" i="16" s="1"/>
  <c r="D67" i="17"/>
  <c r="E67" i="17" s="1"/>
  <c r="H67" i="16"/>
  <c r="I67" i="16" s="1"/>
  <c r="D80" i="17"/>
  <c r="F80" i="16"/>
  <c r="H80" i="16" s="1"/>
  <c r="D83" i="17"/>
  <c r="F83" i="16"/>
  <c r="H83" i="16" s="1"/>
  <c r="I83" i="16" s="1"/>
  <c r="D91" i="17"/>
  <c r="F91" i="16"/>
  <c r="H91" i="16" s="1"/>
  <c r="I91" i="16" s="1"/>
  <c r="D94" i="17"/>
  <c r="E94" i="17" s="1"/>
  <c r="F94" i="17" s="1"/>
  <c r="H94" i="17" s="1"/>
  <c r="I94" i="17" s="1"/>
  <c r="F94" i="16"/>
  <c r="H94" i="16" s="1"/>
  <c r="I94" i="16" s="1"/>
  <c r="D37" i="15"/>
  <c r="F37" i="15" s="1"/>
  <c r="G37" i="15" s="1"/>
  <c r="F12" i="17"/>
  <c r="H12" i="17" s="1"/>
  <c r="H12" i="16"/>
  <c r="F21" i="17"/>
  <c r="F20" i="16"/>
  <c r="H20" i="16" s="1"/>
  <c r="I20" i="16" s="1"/>
  <c r="H23" i="16"/>
  <c r="I23" i="16" s="1"/>
  <c r="D58" i="17"/>
  <c r="E58" i="17" s="1"/>
  <c r="H58" i="16"/>
  <c r="I58" i="16" s="1"/>
  <c r="D87" i="17"/>
  <c r="F87" i="16"/>
  <c r="H87" i="16" s="1"/>
  <c r="I87" i="16" s="1"/>
  <c r="D93" i="17"/>
  <c r="F93" i="16"/>
  <c r="H93" i="16" s="1"/>
  <c r="I93" i="16" s="1"/>
  <c r="D150" i="17"/>
  <c r="E150" i="17" s="1"/>
  <c r="H150" i="16"/>
  <c r="I150" i="16" s="1"/>
  <c r="I28" i="16"/>
  <c r="H63" i="16"/>
  <c r="I63" i="16" s="1"/>
  <c r="D84" i="17"/>
  <c r="F84" i="16"/>
  <c r="H84" i="16" s="1"/>
  <c r="I84" i="16" s="1"/>
  <c r="D89" i="17"/>
  <c r="F89" i="16"/>
  <c r="H89" i="16" s="1"/>
  <c r="I89" i="16" s="1"/>
  <c r="I109" i="16"/>
  <c r="H12" i="15"/>
  <c r="D107" i="17"/>
  <c r="E107" i="17" s="1"/>
  <c r="F107" i="17" s="1"/>
  <c r="H107" i="16"/>
  <c r="H22" i="16"/>
  <c r="I22" i="16" s="1"/>
  <c r="H57" i="16"/>
  <c r="I57" i="16" s="1"/>
  <c r="D65" i="17"/>
  <c r="E65" i="17" s="1"/>
  <c r="H65" i="16"/>
  <c r="I65" i="16" s="1"/>
  <c r="D81" i="17"/>
  <c r="F81" i="17" s="1"/>
  <c r="H81" i="17" s="1"/>
  <c r="I81" i="17" s="1"/>
  <c r="F81" i="16"/>
  <c r="H81" i="16" s="1"/>
  <c r="I81" i="16" s="1"/>
  <c r="D86" i="17"/>
  <c r="F86" i="16"/>
  <c r="H86" i="16" s="1"/>
  <c r="I86" i="16" s="1"/>
  <c r="D97" i="17"/>
  <c r="F97" i="16"/>
  <c r="H97" i="16" s="1"/>
  <c r="I97" i="16" s="1"/>
  <c r="F137" i="15"/>
  <c r="F138" i="15" s="1"/>
  <c r="F152" i="15"/>
  <c r="F166" i="15" s="1"/>
  <c r="H92" i="17"/>
  <c r="I92" i="17" s="1"/>
  <c r="F19" i="16"/>
  <c r="H25" i="16"/>
  <c r="I25" i="16" s="1"/>
  <c r="H60" i="16"/>
  <c r="I60" i="16" s="1"/>
  <c r="H66" i="16"/>
  <c r="I66" i="16" s="1"/>
  <c r="F85" i="16"/>
  <c r="H85" i="16" s="1"/>
  <c r="I85" i="16" s="1"/>
  <c r="F92" i="16"/>
  <c r="H92" i="16" s="1"/>
  <c r="I92" i="16" s="1"/>
  <c r="F15" i="16"/>
  <c r="H15" i="16" s="1"/>
  <c r="D88" i="16"/>
  <c r="E88" i="16" s="1"/>
  <c r="D143" i="17"/>
  <c r="E143" i="17" s="1"/>
  <c r="D40" i="19"/>
  <c r="G114" i="15" l="1"/>
  <c r="H19" i="16"/>
  <c r="I19" i="16" s="1"/>
  <c r="I15" i="16"/>
  <c r="F164" i="15"/>
  <c r="G138" i="15"/>
  <c r="G164" i="15" s="1"/>
  <c r="H14" i="16"/>
  <c r="I14" i="16" s="1"/>
  <c r="I12" i="17"/>
  <c r="H22" i="2"/>
  <c r="I24" i="2"/>
  <c r="F14" i="11" s="1"/>
  <c r="F11" i="11" s="1"/>
  <c r="F11" i="18" s="1"/>
  <c r="F24" i="2"/>
  <c r="G24" i="2" s="1"/>
  <c r="E24" i="2"/>
  <c r="D25" i="2"/>
  <c r="C27" i="3"/>
  <c r="H15" i="17"/>
  <c r="I15" i="17" s="1"/>
  <c r="C24" i="7"/>
  <c r="I122" i="16"/>
  <c r="F10" i="3"/>
  <c r="BC41" i="3"/>
  <c r="BF41" i="3" s="1"/>
  <c r="BI41" i="3" s="1"/>
  <c r="BL41" i="3" s="1"/>
  <c r="BO41" i="3" s="1"/>
  <c r="T44" i="3"/>
  <c r="U44" i="3" s="1"/>
  <c r="Z44" i="3"/>
  <c r="AA44" i="3" s="1"/>
  <c r="Q44" i="3"/>
  <c r="R44" i="3" s="1"/>
  <c r="AC44" i="3"/>
  <c r="AD44" i="3" s="1"/>
  <c r="N44" i="3"/>
  <c r="O44" i="3" s="1"/>
  <c r="AF44" i="3"/>
  <c r="AG44" i="3" s="1"/>
  <c r="K44" i="3"/>
  <c r="L44" i="3" s="1"/>
  <c r="W44" i="3"/>
  <c r="X44" i="3" s="1"/>
  <c r="K43" i="3"/>
  <c r="L43" i="3" s="1"/>
  <c r="N43" i="3"/>
  <c r="O43" i="3" s="1"/>
  <c r="Q43" i="3"/>
  <c r="R43" i="3" s="1"/>
  <c r="T43" i="3"/>
  <c r="U43" i="3" s="1"/>
  <c r="W43" i="3"/>
  <c r="X43" i="3" s="1"/>
  <c r="Z43" i="3"/>
  <c r="AA43" i="3" s="1"/>
  <c r="AC43" i="3"/>
  <c r="AD43" i="3" s="1"/>
  <c r="AF43" i="3"/>
  <c r="AG43" i="3" s="1"/>
  <c r="K44" i="5"/>
  <c r="R44" i="5" s="1"/>
  <c r="Y44" i="5" s="1"/>
  <c r="E44" i="5"/>
  <c r="R43" i="5"/>
  <c r="Y43" i="5" s="1"/>
  <c r="AI43" i="3"/>
  <c r="AJ43" i="3" s="1"/>
  <c r="AL43" i="3"/>
  <c r="AM43" i="3" s="1"/>
  <c r="AX43" i="3"/>
  <c r="AY43" i="3" s="1"/>
  <c r="AO43" i="3"/>
  <c r="AP43" i="3" s="1"/>
  <c r="BD43" i="3"/>
  <c r="BE43" i="3" s="1"/>
  <c r="H43" i="3"/>
  <c r="I43" i="3" s="1"/>
  <c r="F43" i="3"/>
  <c r="BG43" i="3"/>
  <c r="BH43" i="3" s="1"/>
  <c r="BA43" i="3"/>
  <c r="BB43" i="3" s="1"/>
  <c r="AR43" i="3"/>
  <c r="AS43" i="3" s="1"/>
  <c r="BJ43" i="3"/>
  <c r="BK43" i="3" s="1"/>
  <c r="AU43" i="3"/>
  <c r="AV43" i="3" s="1"/>
  <c r="BM43" i="3"/>
  <c r="BN43" i="3" s="1"/>
  <c r="BP43" i="3"/>
  <c r="BQ43" i="3" s="1"/>
  <c r="BS43" i="3"/>
  <c r="BT43" i="3" s="1"/>
  <c r="BV43" i="3"/>
  <c r="BW43" i="3" s="1"/>
  <c r="BY43" i="3"/>
  <c r="AI44" i="3"/>
  <c r="AJ44" i="3" s="1"/>
  <c r="BA44" i="3"/>
  <c r="BB44" i="3" s="1"/>
  <c r="AL44" i="3"/>
  <c r="AM44" i="3" s="1"/>
  <c r="H44" i="3"/>
  <c r="I44" i="3" s="1"/>
  <c r="AX44" i="3"/>
  <c r="AY44" i="3" s="1"/>
  <c r="E44" i="3"/>
  <c r="F44" i="3" s="1"/>
  <c r="AO44" i="3"/>
  <c r="AP44" i="3" s="1"/>
  <c r="BD44" i="3"/>
  <c r="BE44" i="3" s="1"/>
  <c r="BG44" i="3"/>
  <c r="BH44" i="3" s="1"/>
  <c r="AR44" i="3"/>
  <c r="AS44" i="3" s="1"/>
  <c r="AU44" i="3"/>
  <c r="AV44" i="3" s="1"/>
  <c r="BJ44" i="3"/>
  <c r="BK44" i="3" s="1"/>
  <c r="BM44" i="3"/>
  <c r="BN44" i="3" s="1"/>
  <c r="BP44" i="3"/>
  <c r="BQ44" i="3" s="1"/>
  <c r="BS44" i="3"/>
  <c r="BT44" i="3" s="1"/>
  <c r="BV44" i="3"/>
  <c r="BW44" i="3" s="1"/>
  <c r="BY44" i="3"/>
  <c r="T12" i="3"/>
  <c r="U12" i="3" s="1"/>
  <c r="AL12" i="3"/>
  <c r="AM12" i="3" s="1"/>
  <c r="H12" i="3"/>
  <c r="I12" i="3" s="1"/>
  <c r="BG12" i="3"/>
  <c r="BH12" i="3" s="1"/>
  <c r="AR12" i="3"/>
  <c r="AS12" i="3" s="1"/>
  <c r="Z12" i="3"/>
  <c r="AA12" i="3" s="1"/>
  <c r="AI12" i="3"/>
  <c r="AJ12" i="3" s="1"/>
  <c r="AC12" i="3"/>
  <c r="AD12" i="3" s="1"/>
  <c r="AO12" i="3"/>
  <c r="AP12" i="3" s="1"/>
  <c r="BM12" i="3"/>
  <c r="BN12" i="3" s="1"/>
  <c r="Q12" i="3"/>
  <c r="R12" i="3" s="1"/>
  <c r="BP12" i="3"/>
  <c r="BQ12" i="3" s="1"/>
  <c r="AU12" i="3"/>
  <c r="AV12" i="3" s="1"/>
  <c r="BD12" i="3"/>
  <c r="BE12" i="3" s="1"/>
  <c r="BS12" i="3"/>
  <c r="BT12" i="3" s="1"/>
  <c r="K12" i="3"/>
  <c r="L12" i="3" s="1"/>
  <c r="BA12" i="3"/>
  <c r="BB12" i="3" s="1"/>
  <c r="BY12" i="3"/>
  <c r="AF12" i="3"/>
  <c r="AG12" i="3" s="1"/>
  <c r="BJ12" i="3"/>
  <c r="BK12" i="3" s="1"/>
  <c r="E12" i="3"/>
  <c r="F12" i="3" s="1"/>
  <c r="AX12" i="3"/>
  <c r="AY12" i="3" s="1"/>
  <c r="W12" i="3"/>
  <c r="X12" i="3" s="1"/>
  <c r="BV12" i="3"/>
  <c r="BW12" i="3" s="1"/>
  <c r="N12" i="3"/>
  <c r="O12" i="3" s="1"/>
  <c r="Z16" i="3"/>
  <c r="AA16" i="3" s="1"/>
  <c r="AX16" i="3"/>
  <c r="AY16" i="3" s="1"/>
  <c r="BS16" i="3"/>
  <c r="BT16" i="3" s="1"/>
  <c r="I16" i="3"/>
  <c r="AC16" i="3"/>
  <c r="AD16" i="3" s="1"/>
  <c r="BA16" i="3"/>
  <c r="BB16" i="3" s="1"/>
  <c r="BV16" i="3"/>
  <c r="BW16" i="3" s="1"/>
  <c r="BM16" i="3"/>
  <c r="BN16" i="3" s="1"/>
  <c r="W16" i="3"/>
  <c r="X16" i="3" s="1"/>
  <c r="BP16" i="3"/>
  <c r="BQ16" i="3" s="1"/>
  <c r="AF16" i="3"/>
  <c r="AG16" i="3" s="1"/>
  <c r="BD16" i="3"/>
  <c r="BE16" i="3" s="1"/>
  <c r="T16" i="3"/>
  <c r="U16" i="3" s="1"/>
  <c r="AU16" i="3"/>
  <c r="AV16" i="3" s="1"/>
  <c r="AI16" i="3"/>
  <c r="AJ16" i="3" s="1"/>
  <c r="BG16" i="3"/>
  <c r="BH16" i="3" s="1"/>
  <c r="BY16" i="3"/>
  <c r="F16" i="3"/>
  <c r="AL16" i="3"/>
  <c r="AM16" i="3" s="1"/>
  <c r="BJ16" i="3"/>
  <c r="BK16" i="3" s="1"/>
  <c r="AR16" i="3"/>
  <c r="AS16" i="3" s="1"/>
  <c r="Q16" i="3"/>
  <c r="R16" i="3" s="1"/>
  <c r="AO16" i="3"/>
  <c r="AP16" i="3" s="1"/>
  <c r="K16" i="3"/>
  <c r="L16" i="3" s="1"/>
  <c r="N16" i="3"/>
  <c r="O16" i="3" s="1"/>
  <c r="AI14" i="3"/>
  <c r="AJ14" i="3" s="1"/>
  <c r="BG14" i="3"/>
  <c r="BH14" i="3" s="1"/>
  <c r="AL14" i="3"/>
  <c r="AM14" i="3" s="1"/>
  <c r="BJ14" i="3"/>
  <c r="BK14" i="3" s="1"/>
  <c r="E14" i="3"/>
  <c r="F14" i="3" s="1"/>
  <c r="BA14" i="3"/>
  <c r="BB14" i="3" s="1"/>
  <c r="AF14" i="3"/>
  <c r="AG14" i="3" s="1"/>
  <c r="Q14" i="3"/>
  <c r="R14" i="3" s="1"/>
  <c r="AO14" i="3"/>
  <c r="AP14" i="3" s="1"/>
  <c r="BM14" i="3"/>
  <c r="BN14" i="3" s="1"/>
  <c r="BY14" i="3"/>
  <c r="BD14" i="3"/>
  <c r="BE14" i="3" s="1"/>
  <c r="T14" i="3"/>
  <c r="U14" i="3" s="1"/>
  <c r="AR14" i="3"/>
  <c r="AS14" i="3" s="1"/>
  <c r="BP14" i="3"/>
  <c r="BQ14" i="3" s="1"/>
  <c r="W14" i="3"/>
  <c r="X14" i="3" s="1"/>
  <c r="AU14" i="3"/>
  <c r="AV14" i="3" s="1"/>
  <c r="BS14" i="3"/>
  <c r="BT14" i="3" s="1"/>
  <c r="AC14" i="3"/>
  <c r="AD14" i="3" s="1"/>
  <c r="Z14" i="3"/>
  <c r="AA14" i="3" s="1"/>
  <c r="AX14" i="3"/>
  <c r="AY14" i="3" s="1"/>
  <c r="BV14" i="3"/>
  <c r="BW14" i="3" s="1"/>
  <c r="H14" i="3"/>
  <c r="I14" i="3" s="1"/>
  <c r="K14" i="3"/>
  <c r="L14" i="3" s="1"/>
  <c r="N14" i="3"/>
  <c r="O14" i="3" s="1"/>
  <c r="T13" i="3"/>
  <c r="U13" i="3" s="1"/>
  <c r="AU13" i="3"/>
  <c r="AV13" i="3" s="1"/>
  <c r="AX13" i="3"/>
  <c r="AY13" i="3" s="1"/>
  <c r="AC13" i="3"/>
  <c r="AD13" i="3" s="1"/>
  <c r="E13" i="3"/>
  <c r="F13" i="3" s="1"/>
  <c r="BG13" i="3"/>
  <c r="BH13" i="3" s="1"/>
  <c r="H13" i="3"/>
  <c r="I13" i="3" s="1"/>
  <c r="Q13" i="3"/>
  <c r="R13" i="3" s="1"/>
  <c r="BD13" i="3"/>
  <c r="BE13" i="3" s="1"/>
  <c r="BP13" i="3"/>
  <c r="BQ13" i="3" s="1"/>
  <c r="AL13" i="3"/>
  <c r="AM13" i="3" s="1"/>
  <c r="Z13" i="3"/>
  <c r="AA13" i="3" s="1"/>
  <c r="BJ13" i="3"/>
  <c r="BK13" i="3" s="1"/>
  <c r="BS13" i="3"/>
  <c r="BT13" i="3" s="1"/>
  <c r="AI13" i="3"/>
  <c r="AJ13" i="3" s="1"/>
  <c r="BM13" i="3"/>
  <c r="BN13" i="3" s="1"/>
  <c r="AO13" i="3"/>
  <c r="AP13" i="3" s="1"/>
  <c r="AR13" i="3"/>
  <c r="AS13" i="3" s="1"/>
  <c r="BA13" i="3"/>
  <c r="BB13" i="3" s="1"/>
  <c r="AF13" i="3"/>
  <c r="AG13" i="3" s="1"/>
  <c r="BY13" i="3"/>
  <c r="BV13" i="3"/>
  <c r="BW13" i="3" s="1"/>
  <c r="W13" i="3"/>
  <c r="X13" i="3" s="1"/>
  <c r="K13" i="3"/>
  <c r="L13" i="3" s="1"/>
  <c r="N13" i="3"/>
  <c r="O13" i="3" s="1"/>
  <c r="Q15" i="3"/>
  <c r="R15" i="3" s="1"/>
  <c r="AO15" i="3"/>
  <c r="AP15" i="3" s="1"/>
  <c r="BM15" i="3"/>
  <c r="BN15" i="3" s="1"/>
  <c r="T15" i="3"/>
  <c r="U15" i="3" s="1"/>
  <c r="AR15" i="3"/>
  <c r="AS15" i="3" s="1"/>
  <c r="BP15" i="3"/>
  <c r="BQ15" i="3" s="1"/>
  <c r="BG15" i="3"/>
  <c r="BH15" i="3" s="1"/>
  <c r="W15" i="3"/>
  <c r="X15" i="3" s="1"/>
  <c r="AU15" i="3"/>
  <c r="AV15" i="3" s="1"/>
  <c r="BS15" i="3"/>
  <c r="BT15" i="3" s="1"/>
  <c r="E15" i="3"/>
  <c r="F15" i="3" s="1"/>
  <c r="AL15" i="3"/>
  <c r="AM15" i="3" s="1"/>
  <c r="BJ15" i="3"/>
  <c r="BK15" i="3" s="1"/>
  <c r="Z15" i="3"/>
  <c r="AA15" i="3" s="1"/>
  <c r="AX15" i="3"/>
  <c r="AY15" i="3" s="1"/>
  <c r="BV15" i="3"/>
  <c r="BW15" i="3" s="1"/>
  <c r="AC15" i="3"/>
  <c r="AD15" i="3" s="1"/>
  <c r="BA15" i="3"/>
  <c r="BB15" i="3" s="1"/>
  <c r="BY15" i="3"/>
  <c r="AI15" i="3"/>
  <c r="AJ15" i="3" s="1"/>
  <c r="H15" i="3"/>
  <c r="I15" i="3" s="1"/>
  <c r="AF15" i="3"/>
  <c r="AG15" i="3" s="1"/>
  <c r="BD15" i="3"/>
  <c r="BE15" i="3" s="1"/>
  <c r="K15" i="3"/>
  <c r="L15" i="3" s="1"/>
  <c r="N15" i="3"/>
  <c r="O15" i="3" s="1"/>
  <c r="AX11" i="3"/>
  <c r="AY11" i="3" s="1"/>
  <c r="H11" i="3"/>
  <c r="I11" i="3" s="1"/>
  <c r="AC11" i="3"/>
  <c r="AD11" i="3" s="1"/>
  <c r="AF11" i="3"/>
  <c r="AG11" i="3" s="1"/>
  <c r="W11" i="3"/>
  <c r="X11" i="3" s="1"/>
  <c r="BD11" i="3"/>
  <c r="BE11" i="3" s="1"/>
  <c r="AL11" i="3"/>
  <c r="AM11" i="3" s="1"/>
  <c r="Z11" i="3"/>
  <c r="AA11" i="3" s="1"/>
  <c r="AO11" i="3"/>
  <c r="AP11" i="3" s="1"/>
  <c r="AR11" i="3"/>
  <c r="AS11" i="3" s="1"/>
  <c r="BG11" i="3"/>
  <c r="BH11" i="3" s="1"/>
  <c r="AI11" i="3"/>
  <c r="AJ11" i="3" s="1"/>
  <c r="AU11" i="3"/>
  <c r="AV11" i="3" s="1"/>
  <c r="Q11" i="3"/>
  <c r="R11" i="3" s="1"/>
  <c r="BM11" i="3"/>
  <c r="BN11" i="3" s="1"/>
  <c r="BV11" i="3"/>
  <c r="BW11" i="3" s="1"/>
  <c r="BP11" i="3"/>
  <c r="BQ11" i="3" s="1"/>
  <c r="BA11" i="3"/>
  <c r="BB11" i="3" s="1"/>
  <c r="BJ11" i="3"/>
  <c r="BK11" i="3" s="1"/>
  <c r="BS11" i="3"/>
  <c r="BT11" i="3" s="1"/>
  <c r="BY11" i="3"/>
  <c r="F11" i="3"/>
  <c r="T11" i="3"/>
  <c r="U11" i="3" s="1"/>
  <c r="K11" i="3"/>
  <c r="L11" i="3" s="1"/>
  <c r="N11" i="3"/>
  <c r="O11" i="3" s="1"/>
  <c r="T40" i="5"/>
  <c r="Y35" i="5"/>
  <c r="Y39" i="5"/>
  <c r="E46" i="5"/>
  <c r="R41" i="5"/>
  <c r="Y41" i="5" s="1"/>
  <c r="R42" i="5"/>
  <c r="Y42" i="5" s="1"/>
  <c r="Y40" i="5"/>
  <c r="Y36" i="5"/>
  <c r="T45" i="5"/>
  <c r="AA21" i="5"/>
  <c r="AA45" i="5" s="1"/>
  <c r="BD10" i="3"/>
  <c r="BE10" i="3" s="1"/>
  <c r="Z36" i="5"/>
  <c r="Z35" i="5"/>
  <c r="Z24" i="5"/>
  <c r="S24" i="5"/>
  <c r="AI24" i="3"/>
  <c r="AJ24" i="3" s="1"/>
  <c r="AH26" i="3"/>
  <c r="Z21" i="5"/>
  <c r="S21" i="5"/>
  <c r="Z25" i="5"/>
  <c r="S25" i="5"/>
  <c r="Z26" i="5"/>
  <c r="S26" i="5"/>
  <c r="S39" i="5"/>
  <c r="Z39" i="5"/>
  <c r="S40" i="5"/>
  <c r="Z40" i="5"/>
  <c r="S28" i="5"/>
  <c r="Z28" i="5"/>
  <c r="U40" i="5"/>
  <c r="AB20" i="5"/>
  <c r="U45" i="5"/>
  <c r="AB21" i="5"/>
  <c r="AB45" i="5" s="1"/>
  <c r="AX23" i="3"/>
  <c r="AY23" i="3" s="1"/>
  <c r="Q23" i="3"/>
  <c r="R23" i="3" s="1"/>
  <c r="AL23" i="3"/>
  <c r="AM23" i="3" s="1"/>
  <c r="N23" i="3"/>
  <c r="O23" i="3" s="1"/>
  <c r="F23" i="3"/>
  <c r="T23" i="3"/>
  <c r="U23" i="3" s="1"/>
  <c r="K23" i="3"/>
  <c r="L23" i="3" s="1"/>
  <c r="I23" i="3"/>
  <c r="BD23" i="3"/>
  <c r="BE23" i="3" s="1"/>
  <c r="BA23" i="3"/>
  <c r="BB23" i="3" s="1"/>
  <c r="AI23" i="3"/>
  <c r="AJ23" i="3" s="1"/>
  <c r="BG23" i="3"/>
  <c r="BH23" i="3" s="1"/>
  <c r="AO23" i="3"/>
  <c r="AP23" i="3" s="1"/>
  <c r="W23" i="3"/>
  <c r="X23" i="3" s="1"/>
  <c r="BJ23" i="3"/>
  <c r="BK23" i="3" s="1"/>
  <c r="Z23" i="3"/>
  <c r="AA23" i="3" s="1"/>
  <c r="AR23" i="3"/>
  <c r="AS23" i="3" s="1"/>
  <c r="AU23" i="3"/>
  <c r="AV23" i="3" s="1"/>
  <c r="AC23" i="3"/>
  <c r="AD23" i="3" s="1"/>
  <c r="BM23" i="3"/>
  <c r="BN23" i="3" s="1"/>
  <c r="BP23" i="3"/>
  <c r="BQ23" i="3" s="1"/>
  <c r="AF23" i="3"/>
  <c r="AG23" i="3" s="1"/>
  <c r="BS23" i="3"/>
  <c r="BT23" i="3" s="1"/>
  <c r="BV23" i="3"/>
  <c r="BW23" i="3" s="1"/>
  <c r="BY23" i="3"/>
  <c r="D24" i="7"/>
  <c r="C13" i="11" s="1"/>
  <c r="D42" i="19"/>
  <c r="H150" i="17"/>
  <c r="F23" i="17"/>
  <c r="H23" i="17" s="1"/>
  <c r="I23" i="17" s="1"/>
  <c r="F22" i="17"/>
  <c r="H22" i="17" s="1"/>
  <c r="I22" i="17" s="1"/>
  <c r="F143" i="17"/>
  <c r="H143" i="17" s="1"/>
  <c r="F97" i="17"/>
  <c r="H97" i="17" s="1"/>
  <c r="I97" i="17" s="1"/>
  <c r="I143" i="16"/>
  <c r="I164" i="16" s="1"/>
  <c r="G137" i="15"/>
  <c r="E83" i="17"/>
  <c r="F83" i="17" s="1"/>
  <c r="H83" i="17" s="1"/>
  <c r="H62" i="17"/>
  <c r="I62" i="17" s="1"/>
  <c r="E86" i="17"/>
  <c r="F86" i="17" s="1"/>
  <c r="H86" i="17" s="1"/>
  <c r="I86" i="17" s="1"/>
  <c r="H107" i="17"/>
  <c r="I107" i="17" s="1"/>
  <c r="F84" i="17"/>
  <c r="H84" i="17" s="1"/>
  <c r="I84" i="17" s="1"/>
  <c r="E93" i="17"/>
  <c r="F93" i="17" s="1"/>
  <c r="H93" i="17" s="1"/>
  <c r="I93" i="17" s="1"/>
  <c r="H61" i="17"/>
  <c r="I61" i="17" s="1"/>
  <c r="H64" i="17"/>
  <c r="I64" i="17" s="1"/>
  <c r="H70" i="17"/>
  <c r="I70" i="17" s="1"/>
  <c r="H67" i="17"/>
  <c r="I67" i="17" s="1"/>
  <c r="H59" i="17"/>
  <c r="I59" i="17" s="1"/>
  <c r="F87" i="17"/>
  <c r="H87" i="17" s="1"/>
  <c r="I87" i="17" s="1"/>
  <c r="E91" i="17"/>
  <c r="F91" i="17" s="1"/>
  <c r="H91" i="17" s="1"/>
  <c r="I91" i="17" s="1"/>
  <c r="E89" i="17"/>
  <c r="F89" i="17" s="1"/>
  <c r="H89" i="17" s="1"/>
  <c r="I89" i="17" s="1"/>
  <c r="H65" i="17"/>
  <c r="I65" i="17" s="1"/>
  <c r="H58" i="17"/>
  <c r="I58" i="17" s="1"/>
  <c r="AA40" i="5"/>
  <c r="AA36" i="5"/>
  <c r="Z22" i="3"/>
  <c r="AA22" i="3" s="1"/>
  <c r="W13" i="5"/>
  <c r="W20" i="5"/>
  <c r="W22" i="5"/>
  <c r="BD17" i="3"/>
  <c r="BE17" i="3" s="1"/>
  <c r="AZ34" i="3"/>
  <c r="BC34" i="3" s="1"/>
  <c r="V36" i="5"/>
  <c r="K38" i="3"/>
  <c r="L38" i="3" s="1"/>
  <c r="W21" i="5"/>
  <c r="W23" i="5"/>
  <c r="H56" i="17"/>
  <c r="I56" i="17" s="1"/>
  <c r="C30" i="11"/>
  <c r="AB30" i="11" s="1"/>
  <c r="AX20" i="3"/>
  <c r="AY20" i="3" s="1"/>
  <c r="BA17" i="3"/>
  <c r="BB17" i="3" s="1"/>
  <c r="AI20" i="3"/>
  <c r="AJ20" i="3" s="1"/>
  <c r="AI17" i="3"/>
  <c r="AJ17" i="3" s="1"/>
  <c r="H17" i="3"/>
  <c r="I17" i="3" s="1"/>
  <c r="BY21" i="3"/>
  <c r="AC21" i="3"/>
  <c r="AD21" i="3" s="1"/>
  <c r="AL17" i="3"/>
  <c r="AM17" i="3" s="1"/>
  <c r="AX17" i="3"/>
  <c r="AY17" i="3" s="1"/>
  <c r="AX18" i="3"/>
  <c r="AY18" i="3" s="1"/>
  <c r="Z45" i="3"/>
  <c r="AA45" i="3" s="1"/>
  <c r="W45" i="3"/>
  <c r="X45" i="3" s="1"/>
  <c r="BD18" i="3"/>
  <c r="BE18" i="3" s="1"/>
  <c r="AO22" i="3"/>
  <c r="AP22" i="3" s="1"/>
  <c r="Z33" i="3"/>
  <c r="AA33" i="3" s="1"/>
  <c r="AI33" i="3"/>
  <c r="AJ33" i="3" s="1"/>
  <c r="AJ29" i="3"/>
  <c r="AJ30" i="3" s="1"/>
  <c r="T29" i="3"/>
  <c r="T30" i="3" s="1"/>
  <c r="Z25" i="3"/>
  <c r="AA25" i="3" s="1"/>
  <c r="N24" i="3"/>
  <c r="O24" i="3" s="1"/>
  <c r="AC24" i="3"/>
  <c r="AD24" i="3" s="1"/>
  <c r="K24" i="3"/>
  <c r="L24" i="3" s="1"/>
  <c r="E24" i="3"/>
  <c r="F24" i="3" s="1"/>
  <c r="AL24" i="3"/>
  <c r="AM24" i="3" s="1"/>
  <c r="AF24" i="3"/>
  <c r="AG24" i="3" s="1"/>
  <c r="Q24" i="3"/>
  <c r="R24" i="3" s="1"/>
  <c r="Z24" i="3"/>
  <c r="AA24" i="3" s="1"/>
  <c r="H24" i="3"/>
  <c r="I24" i="3" s="1"/>
  <c r="W24" i="3"/>
  <c r="X24" i="3" s="1"/>
  <c r="AO24" i="3"/>
  <c r="AP24" i="3" s="1"/>
  <c r="N21" i="3"/>
  <c r="O21" i="3" s="1"/>
  <c r="AX21" i="3"/>
  <c r="AY21" i="3" s="1"/>
  <c r="BD21" i="3"/>
  <c r="BE21" i="3" s="1"/>
  <c r="AO21" i="3"/>
  <c r="AP21" i="3" s="1"/>
  <c r="W21" i="3"/>
  <c r="X21" i="3" s="1"/>
  <c r="BA21" i="3"/>
  <c r="BB21" i="3" s="1"/>
  <c r="Z21" i="3"/>
  <c r="AA21" i="3" s="1"/>
  <c r="AF21" i="3"/>
  <c r="AG21" i="3" s="1"/>
  <c r="AU21" i="3"/>
  <c r="AV21" i="3" s="1"/>
  <c r="I21" i="3"/>
  <c r="F21" i="3"/>
  <c r="K21" i="3"/>
  <c r="L21" i="3" s="1"/>
  <c r="AL21" i="3"/>
  <c r="AM21" i="3" s="1"/>
  <c r="AI21" i="3"/>
  <c r="AJ21" i="3" s="1"/>
  <c r="BP21" i="3"/>
  <c r="BQ21" i="3" s="1"/>
  <c r="BS21" i="3"/>
  <c r="BT21" i="3" s="1"/>
  <c r="BM21" i="3"/>
  <c r="BN21" i="3" s="1"/>
  <c r="T21" i="3"/>
  <c r="U21" i="3" s="1"/>
  <c r="BG21" i="3"/>
  <c r="BH21" i="3" s="1"/>
  <c r="BV21" i="3"/>
  <c r="BW21" i="3" s="1"/>
  <c r="BJ21" i="3"/>
  <c r="BK21" i="3" s="1"/>
  <c r="Q21" i="3"/>
  <c r="R21" i="3" s="1"/>
  <c r="AL18" i="3"/>
  <c r="AM18" i="3" s="1"/>
  <c r="AI18" i="3"/>
  <c r="AJ18" i="3" s="1"/>
  <c r="E17" i="3"/>
  <c r="F17" i="3" s="1"/>
  <c r="W38" i="3"/>
  <c r="X38" i="3" s="1"/>
  <c r="AC25" i="3"/>
  <c r="AD25" i="3" s="1"/>
  <c r="AX22" i="3"/>
  <c r="AY22" i="3" s="1"/>
  <c r="H45" i="3"/>
  <c r="I45" i="3" s="1"/>
  <c r="AF45" i="3"/>
  <c r="AG45" i="3" s="1"/>
  <c r="AC22" i="3"/>
  <c r="AD22" i="3" s="1"/>
  <c r="Q25" i="3"/>
  <c r="R25" i="3" s="1"/>
  <c r="AI25" i="3"/>
  <c r="AJ25" i="3" s="1"/>
  <c r="T25" i="3"/>
  <c r="U25" i="3" s="1"/>
  <c r="BG38" i="3"/>
  <c r="BH38" i="3" s="1"/>
  <c r="BA45" i="3"/>
  <c r="BB45" i="3" s="1"/>
  <c r="W25" i="3"/>
  <c r="X25" i="3" s="1"/>
  <c r="Q45" i="3"/>
  <c r="R45" i="3" s="1"/>
  <c r="I25" i="3"/>
  <c r="AI40" i="3"/>
  <c r="AJ40" i="3" s="1"/>
  <c r="F21" i="2"/>
  <c r="K40" i="3"/>
  <c r="L40" i="3" s="1"/>
  <c r="N40" i="3"/>
  <c r="O40" i="3" s="1"/>
  <c r="AR40" i="3"/>
  <c r="AS40" i="3" s="1"/>
  <c r="AF40" i="3"/>
  <c r="AG40" i="3" s="1"/>
  <c r="AU40" i="3"/>
  <c r="AV40" i="3" s="1"/>
  <c r="K45" i="3"/>
  <c r="L45" i="3" s="1"/>
  <c r="AI45" i="3"/>
  <c r="AJ45" i="3" s="1"/>
  <c r="N25" i="3"/>
  <c r="O25" i="3" s="1"/>
  <c r="AO25" i="3"/>
  <c r="AP25" i="3" s="1"/>
  <c r="K25" i="3"/>
  <c r="L25" i="3" s="1"/>
  <c r="E45" i="3"/>
  <c r="F45" i="3" s="1"/>
  <c r="AC45" i="3"/>
  <c r="AD45" i="3" s="1"/>
  <c r="T45" i="3"/>
  <c r="U45" i="3" s="1"/>
  <c r="F25" i="3"/>
  <c r="AL25" i="3"/>
  <c r="AM25" i="3" s="1"/>
  <c r="AF25" i="3"/>
  <c r="AG25" i="3" s="1"/>
  <c r="AX45" i="3"/>
  <c r="AY45" i="3" s="1"/>
  <c r="AR39" i="3"/>
  <c r="AS39" i="3" s="1"/>
  <c r="BA20" i="3"/>
  <c r="BB20" i="3" s="1"/>
  <c r="K34" i="3"/>
  <c r="L34" i="3" s="1"/>
  <c r="F19" i="3"/>
  <c r="AL20" i="3"/>
  <c r="AM20" i="3" s="1"/>
  <c r="E39" i="3"/>
  <c r="F39" i="3" s="1"/>
  <c r="BD20" i="3"/>
  <c r="BE20" i="3" s="1"/>
  <c r="T33" i="3"/>
  <c r="U33" i="3" s="1"/>
  <c r="AO34" i="3"/>
  <c r="AP34" i="3" s="1"/>
  <c r="AO20" i="3"/>
  <c r="AP20" i="3" s="1"/>
  <c r="E33" i="3"/>
  <c r="AX34" i="3"/>
  <c r="AY34" i="3" s="1"/>
  <c r="F20" i="3"/>
  <c r="BD19" i="3"/>
  <c r="BE19" i="3" s="1"/>
  <c r="N34" i="3"/>
  <c r="O34" i="3" s="1"/>
  <c r="BA19" i="3"/>
  <c r="BB19" i="3" s="1"/>
  <c r="I19" i="3"/>
  <c r="BG20" i="3"/>
  <c r="BH20" i="3" s="1"/>
  <c r="I20" i="3"/>
  <c r="AL19" i="3"/>
  <c r="AM19" i="3" s="1"/>
  <c r="AU20" i="3"/>
  <c r="AV20" i="3" s="1"/>
  <c r="E34" i="3"/>
  <c r="F34" i="3" s="1"/>
  <c r="Z39" i="3"/>
  <c r="AA39" i="3" s="1"/>
  <c r="T38" i="3"/>
  <c r="U38" i="3" s="1"/>
  <c r="AI22" i="3"/>
  <c r="AJ22" i="3" s="1"/>
  <c r="Z34" i="3"/>
  <c r="AA34" i="3" s="1"/>
  <c r="BA18" i="3"/>
  <c r="BB18" i="3" s="1"/>
  <c r="AF22" i="3"/>
  <c r="AG22" i="3" s="1"/>
  <c r="W22" i="3"/>
  <c r="X22" i="3" s="1"/>
  <c r="BA22" i="3"/>
  <c r="BB22" i="3" s="1"/>
  <c r="BG22" i="3"/>
  <c r="BH22" i="3" s="1"/>
  <c r="E22" i="3"/>
  <c r="F22" i="3" s="1"/>
  <c r="N39" i="3"/>
  <c r="O39" i="3" s="1"/>
  <c r="AR34" i="3"/>
  <c r="AS34" i="3" s="1"/>
  <c r="AC34" i="3"/>
  <c r="AD34" i="3" s="1"/>
  <c r="AI19" i="3"/>
  <c r="AJ19" i="3" s="1"/>
  <c r="F18" i="3"/>
  <c r="AX19" i="3"/>
  <c r="AY19" i="3" s="1"/>
  <c r="H22" i="3"/>
  <c r="I22" i="3" s="1"/>
  <c r="AL22" i="3"/>
  <c r="AM22" i="3" s="1"/>
  <c r="BD22" i="3"/>
  <c r="BE22" i="3" s="1"/>
  <c r="BS39" i="3"/>
  <c r="BT39" i="3" s="1"/>
  <c r="AU39" i="3"/>
  <c r="AV39" i="3" s="1"/>
  <c r="AC38" i="3"/>
  <c r="AD38" i="3" s="1"/>
  <c r="H34" i="3"/>
  <c r="I34" i="3" s="1"/>
  <c r="Q34" i="3"/>
  <c r="R34" i="3" s="1"/>
  <c r="AI39" i="3"/>
  <c r="AJ39" i="3" s="1"/>
  <c r="AO38" i="3"/>
  <c r="AP38" i="3" s="1"/>
  <c r="AL34" i="3"/>
  <c r="AM34" i="3" s="1"/>
  <c r="AF34" i="3"/>
  <c r="AG34" i="3" s="1"/>
  <c r="BJ39" i="3"/>
  <c r="BK39" i="3" s="1"/>
  <c r="AF39" i="3"/>
  <c r="AG39" i="3" s="1"/>
  <c r="AO39" i="3"/>
  <c r="AP39" i="3" s="1"/>
  <c r="BD39" i="3"/>
  <c r="BE39" i="3" s="1"/>
  <c r="BA38" i="3"/>
  <c r="BB38" i="3" s="1"/>
  <c r="H38" i="3"/>
  <c r="I38" i="3" s="1"/>
  <c r="AI34" i="3"/>
  <c r="AJ34" i="3" s="1"/>
  <c r="T34" i="3"/>
  <c r="U34" i="3" s="1"/>
  <c r="W34" i="3"/>
  <c r="X34" i="3" s="1"/>
  <c r="BY39" i="3"/>
  <c r="AC39" i="3"/>
  <c r="AD39" i="3" s="1"/>
  <c r="AI38" i="3"/>
  <c r="AJ38" i="3" s="1"/>
  <c r="AF38" i="3"/>
  <c r="AG38" i="3" s="1"/>
  <c r="E38" i="3"/>
  <c r="BM39" i="3"/>
  <c r="BN39" i="3" s="1"/>
  <c r="H39" i="3"/>
  <c r="I39" i="3" s="1"/>
  <c r="AL29" i="3"/>
  <c r="AL30" i="3" s="1"/>
  <c r="Q38" i="3"/>
  <c r="R38" i="3" s="1"/>
  <c r="N38" i="3"/>
  <c r="O38" i="3" s="1"/>
  <c r="AL39" i="3"/>
  <c r="AM39" i="3" s="1"/>
  <c r="AX39" i="3"/>
  <c r="AY39" i="3" s="1"/>
  <c r="AX38" i="3"/>
  <c r="AY38" i="3" s="1"/>
  <c r="Q39" i="3"/>
  <c r="R39" i="3" s="1"/>
  <c r="W39" i="3"/>
  <c r="X39" i="3" s="1"/>
  <c r="AU41" i="3"/>
  <c r="AV41" i="3" s="1"/>
  <c r="AO40" i="3"/>
  <c r="AP40" i="3" s="1"/>
  <c r="AL40" i="3"/>
  <c r="AM40" i="3" s="1"/>
  <c r="AC40" i="3"/>
  <c r="AD40" i="3" s="1"/>
  <c r="BA40" i="3"/>
  <c r="BB40" i="3" s="1"/>
  <c r="AO41" i="3"/>
  <c r="AP41" i="3" s="1"/>
  <c r="K39" i="3"/>
  <c r="L39" i="3" s="1"/>
  <c r="T39" i="3"/>
  <c r="U39" i="3" s="1"/>
  <c r="BG39" i="3"/>
  <c r="BH39" i="3" s="1"/>
  <c r="BV39" i="3"/>
  <c r="BW39" i="3" s="1"/>
  <c r="BA39" i="3"/>
  <c r="BB39" i="3" s="1"/>
  <c r="AL38" i="3"/>
  <c r="AM38" i="3" s="1"/>
  <c r="BD38" i="3"/>
  <c r="BE38" i="3" s="1"/>
  <c r="AX10" i="3"/>
  <c r="AY10" i="3" s="1"/>
  <c r="I136" i="17"/>
  <c r="I163" i="17" s="1"/>
  <c r="H136" i="17"/>
  <c r="H163" i="17" s="1"/>
  <c r="H136" i="16"/>
  <c r="H163" i="16" s="1"/>
  <c r="I134" i="16"/>
  <c r="I136" i="16" s="1"/>
  <c r="I163" i="16" s="1"/>
  <c r="H56" i="16"/>
  <c r="I56" i="16" s="1"/>
  <c r="H41" i="3"/>
  <c r="I41" i="3" s="1"/>
  <c r="AL41" i="3"/>
  <c r="AM41" i="3" s="1"/>
  <c r="Z38" i="3"/>
  <c r="AA38" i="3" s="1"/>
  <c r="BG41" i="3"/>
  <c r="BH41" i="3" s="1"/>
  <c r="AX41" i="3"/>
  <c r="AY41" i="3" s="1"/>
  <c r="BA41" i="3"/>
  <c r="BB41" i="3" s="1"/>
  <c r="T40" i="3"/>
  <c r="U40" i="3" s="1"/>
  <c r="H40" i="3"/>
  <c r="I40" i="3" s="1"/>
  <c r="BJ41" i="3"/>
  <c r="BK41" i="3" s="1"/>
  <c r="F41" i="3"/>
  <c r="AR41" i="3"/>
  <c r="AS41" i="3" s="1"/>
  <c r="AI41" i="3"/>
  <c r="AJ41" i="3" s="1"/>
  <c r="K42" i="3"/>
  <c r="L42" i="3" s="1"/>
  <c r="W40" i="3"/>
  <c r="X40" i="3" s="1"/>
  <c r="Q40" i="3"/>
  <c r="R40" i="3" s="1"/>
  <c r="F42" i="3"/>
  <c r="BM41" i="3"/>
  <c r="BN41" i="3" s="1"/>
  <c r="BD41" i="3"/>
  <c r="BE41" i="3" s="1"/>
  <c r="F40" i="3"/>
  <c r="AX40" i="3"/>
  <c r="AY40" i="3" s="1"/>
  <c r="BA10" i="3"/>
  <c r="AI10" i="3"/>
  <c r="AJ10" i="3" s="1"/>
  <c r="I151" i="16"/>
  <c r="I165" i="16" s="1"/>
  <c r="X33" i="3"/>
  <c r="BI17" i="3"/>
  <c r="BG17" i="3"/>
  <c r="BH17" i="3" s="1"/>
  <c r="AR24" i="3"/>
  <c r="AS24" i="3" s="1"/>
  <c r="AT24" i="3"/>
  <c r="BO20" i="3"/>
  <c r="BM20" i="3"/>
  <c r="BN20" i="3" s="1"/>
  <c r="H21" i="17"/>
  <c r="I21" i="17" s="1"/>
  <c r="D67" i="6"/>
  <c r="G67" i="6" s="1"/>
  <c r="W29" i="3"/>
  <c r="V30" i="3"/>
  <c r="Y29" i="3"/>
  <c r="D68" i="17"/>
  <c r="E68" i="17" s="1"/>
  <c r="H68" i="16"/>
  <c r="I68" i="16" s="1"/>
  <c r="AK35" i="3"/>
  <c r="AN33" i="3"/>
  <c r="D47" i="3"/>
  <c r="BR41" i="3"/>
  <c r="BP41" i="3"/>
  <c r="BQ41" i="3" s="1"/>
  <c r="M19" i="3"/>
  <c r="K19" i="3"/>
  <c r="L19" i="3" s="1"/>
  <c r="BI19" i="3"/>
  <c r="BG19" i="3"/>
  <c r="BH19" i="3" s="1"/>
  <c r="AR25" i="3"/>
  <c r="AS25" i="3" s="1"/>
  <c r="AT25" i="3"/>
  <c r="M17" i="3"/>
  <c r="K17" i="3"/>
  <c r="L17" i="3" s="1"/>
  <c r="I37" i="17"/>
  <c r="AN45" i="3"/>
  <c r="AL45" i="3"/>
  <c r="AM45" i="3" s="1"/>
  <c r="P42" i="3"/>
  <c r="N42" i="3"/>
  <c r="O42" i="3" s="1"/>
  <c r="D88" i="17"/>
  <c r="F88" i="16"/>
  <c r="H88" i="16" s="1"/>
  <c r="I107" i="16"/>
  <c r="I111" i="16"/>
  <c r="I12" i="16"/>
  <c r="BI38" i="3"/>
  <c r="BF45" i="3"/>
  <c r="BD45" i="3"/>
  <c r="BE45" i="3" s="1"/>
  <c r="AB33" i="3"/>
  <c r="Y35" i="3"/>
  <c r="K29" i="3"/>
  <c r="J30" i="3"/>
  <c r="M29" i="3"/>
  <c r="AL33" i="3"/>
  <c r="BJ22" i="3"/>
  <c r="BK22" i="3" s="1"/>
  <c r="BL22" i="3"/>
  <c r="M20" i="3"/>
  <c r="K20" i="3"/>
  <c r="L20" i="3" s="1"/>
  <c r="AO19" i="3"/>
  <c r="AP19" i="3" s="1"/>
  <c r="G35" i="3"/>
  <c r="J33" i="3"/>
  <c r="BJ20" i="3"/>
  <c r="BK20" i="3" s="1"/>
  <c r="AQ38" i="3"/>
  <c r="H33" i="3"/>
  <c r="I33" i="3" s="1"/>
  <c r="AQ17" i="3"/>
  <c r="AO17" i="3"/>
  <c r="AP17" i="3" s="1"/>
  <c r="D37" i="16"/>
  <c r="C23" i="11"/>
  <c r="AB23" i="11" s="1"/>
  <c r="M41" i="3"/>
  <c r="K41" i="3"/>
  <c r="L41" i="3" s="1"/>
  <c r="BF40" i="3"/>
  <c r="BD40" i="3"/>
  <c r="BE40" i="3" s="1"/>
  <c r="AQ18" i="3"/>
  <c r="AO18" i="3"/>
  <c r="AP18" i="3" s="1"/>
  <c r="AT22" i="3"/>
  <c r="AU22" i="3" s="1"/>
  <c r="AV22" i="3" s="1"/>
  <c r="AR22" i="3"/>
  <c r="AS22" i="3" s="1"/>
  <c r="BI18" i="3"/>
  <c r="BG18" i="3"/>
  <c r="BH18" i="3" s="1"/>
  <c r="AO29" i="3"/>
  <c r="AN30" i="3"/>
  <c r="AQ29" i="3"/>
  <c r="H151" i="16"/>
  <c r="H165" i="16" s="1"/>
  <c r="I80" i="16"/>
  <c r="AL10" i="3"/>
  <c r="AK26" i="3"/>
  <c r="AN10" i="3"/>
  <c r="M22" i="3"/>
  <c r="K22" i="3"/>
  <c r="L22" i="3" s="1"/>
  <c r="BI10" i="3"/>
  <c r="BG10" i="3"/>
  <c r="M18" i="3"/>
  <c r="K18" i="3"/>
  <c r="L18" i="3" s="1"/>
  <c r="E37" i="16" l="1"/>
  <c r="E37" i="17" s="1"/>
  <c r="D37" i="17"/>
  <c r="I21" i="2"/>
  <c r="I25" i="2"/>
  <c r="G14" i="11" s="1"/>
  <c r="G11" i="11" s="1"/>
  <c r="G11" i="18" s="1"/>
  <c r="F25" i="2"/>
  <c r="E25" i="2"/>
  <c r="D26" i="2"/>
  <c r="H24" i="2"/>
  <c r="F38" i="3"/>
  <c r="F33" i="3"/>
  <c r="I88" i="16"/>
  <c r="H71" i="15"/>
  <c r="G73" i="15"/>
  <c r="F160" i="15" s="1"/>
  <c r="I83" i="17"/>
  <c r="BA34" i="3"/>
  <c r="BB34" i="3" s="1"/>
  <c r="AU24" i="3"/>
  <c r="AV24" i="3" s="1"/>
  <c r="AW24" i="3"/>
  <c r="AU25" i="3"/>
  <c r="AV25" i="3" s="1"/>
  <c r="AW25" i="3"/>
  <c r="AB40" i="5"/>
  <c r="AB36" i="5"/>
  <c r="C25" i="7"/>
  <c r="D25" i="7" s="1"/>
  <c r="D13" i="11" s="1"/>
  <c r="H144" i="17"/>
  <c r="H164" i="17" s="1"/>
  <c r="I143" i="17"/>
  <c r="I150" i="17"/>
  <c r="H151" i="17"/>
  <c r="F88" i="17"/>
  <c r="H88" i="17" s="1"/>
  <c r="I88" i="17" s="1"/>
  <c r="H68" i="17"/>
  <c r="AA35" i="5"/>
  <c r="AA39" i="5"/>
  <c r="W36" i="5"/>
  <c r="C14" i="11"/>
  <c r="H67" i="6"/>
  <c r="N67" i="6" s="1"/>
  <c r="G75" i="6" s="1"/>
  <c r="H30" i="15"/>
  <c r="X35" i="3"/>
  <c r="Q42" i="3"/>
  <c r="R42" i="3" s="1"/>
  <c r="S42" i="3"/>
  <c r="H30" i="3"/>
  <c r="I29" i="3"/>
  <c r="I30" i="3" s="1"/>
  <c r="U29" i="3"/>
  <c r="U30" i="3" s="1"/>
  <c r="AM29" i="3"/>
  <c r="AM30" i="3" s="1"/>
  <c r="D58" i="6"/>
  <c r="U35" i="3"/>
  <c r="AJ26" i="3"/>
  <c r="F29" i="3"/>
  <c r="F30" i="3" s="1"/>
  <c r="G47" i="3"/>
  <c r="T35" i="3"/>
  <c r="W35" i="3"/>
  <c r="AA35" i="3"/>
  <c r="Z35" i="3"/>
  <c r="AI35" i="3"/>
  <c r="AJ35" i="3"/>
  <c r="I113" i="16"/>
  <c r="I161" i="16" s="1"/>
  <c r="H71" i="16"/>
  <c r="I71" i="16" s="1"/>
  <c r="AI26" i="3"/>
  <c r="BB10" i="3"/>
  <c r="L46" i="3"/>
  <c r="K46" i="3"/>
  <c r="AR18" i="3"/>
  <c r="AS18" i="3" s="1"/>
  <c r="AT18" i="3"/>
  <c r="AU18" i="3" s="1"/>
  <c r="AV18" i="3" s="1"/>
  <c r="P22" i="3"/>
  <c r="Q22" i="3" s="1"/>
  <c r="R22" i="3" s="1"/>
  <c r="N22" i="3"/>
  <c r="O22" i="3" s="1"/>
  <c r="BI40" i="3"/>
  <c r="BG40" i="3"/>
  <c r="J35" i="3"/>
  <c r="M33" i="3"/>
  <c r="K33" i="3"/>
  <c r="BF34" i="3"/>
  <c r="BD34" i="3"/>
  <c r="BE34" i="3" s="1"/>
  <c r="BO22" i="3"/>
  <c r="BM22" i="3"/>
  <c r="BN22" i="3" s="1"/>
  <c r="BH10" i="3"/>
  <c r="N18" i="3"/>
  <c r="O18" i="3" s="1"/>
  <c r="P18" i="3"/>
  <c r="F46" i="3"/>
  <c r="AR17" i="3"/>
  <c r="AS17" i="3" s="1"/>
  <c r="AT17" i="3"/>
  <c r="AU17" i="3" s="1"/>
  <c r="AV17" i="3" s="1"/>
  <c r="F35" i="3"/>
  <c r="K30" i="3"/>
  <c r="L29" i="3"/>
  <c r="L30" i="3" s="1"/>
  <c r="AB35" i="3"/>
  <c r="AC33" i="3"/>
  <c r="N19" i="3"/>
  <c r="O19" i="3" s="1"/>
  <c r="P19" i="3"/>
  <c r="Z29" i="3"/>
  <c r="Y30" i="3"/>
  <c r="AB29" i="3"/>
  <c r="BJ18" i="3"/>
  <c r="BK18" i="3" s="1"/>
  <c r="BL18" i="3"/>
  <c r="AR19" i="3"/>
  <c r="AS19" i="3" s="1"/>
  <c r="AT19" i="3"/>
  <c r="AU19" i="3" s="1"/>
  <c r="AV19" i="3" s="1"/>
  <c r="AO45" i="3"/>
  <c r="AP45" i="3" s="1"/>
  <c r="AQ45" i="3"/>
  <c r="BJ10" i="3"/>
  <c r="BL10" i="3"/>
  <c r="AQ10" i="3"/>
  <c r="AO10" i="3"/>
  <c r="AN26" i="3"/>
  <c r="AQ30" i="3"/>
  <c r="AR29" i="3"/>
  <c r="AM33" i="3"/>
  <c r="AM35" i="3" s="1"/>
  <c r="AL35" i="3"/>
  <c r="AI42" i="3"/>
  <c r="AK42" i="3"/>
  <c r="BG45" i="3"/>
  <c r="BH45" i="3" s="1"/>
  <c r="BI45" i="3"/>
  <c r="BU41" i="3"/>
  <c r="BS41" i="3"/>
  <c r="BT41" i="3" s="1"/>
  <c r="AN35" i="3"/>
  <c r="AQ33" i="3"/>
  <c r="AO33" i="3"/>
  <c r="W30" i="3"/>
  <c r="X29" i="3"/>
  <c r="X30" i="3" s="1"/>
  <c r="N41" i="3"/>
  <c r="P41" i="3"/>
  <c r="AT38" i="3"/>
  <c r="AR38" i="3"/>
  <c r="N20" i="3"/>
  <c r="O20" i="3" s="1"/>
  <c r="P20" i="3"/>
  <c r="N17" i="3"/>
  <c r="O17" i="3" s="1"/>
  <c r="BR20" i="3"/>
  <c r="BP20" i="3"/>
  <c r="BQ20" i="3" s="1"/>
  <c r="BJ17" i="3"/>
  <c r="BK17" i="3" s="1"/>
  <c r="BL17" i="3"/>
  <c r="H35" i="3"/>
  <c r="I35" i="3"/>
  <c r="AL26" i="3"/>
  <c r="AM10" i="3"/>
  <c r="AM26" i="3" s="1"/>
  <c r="AO30" i="3"/>
  <c r="AP29" i="3"/>
  <c r="AP30" i="3" s="1"/>
  <c r="C11" i="11"/>
  <c r="N29" i="3"/>
  <c r="M30" i="3"/>
  <c r="P29" i="3"/>
  <c r="BL38" i="3"/>
  <c r="BJ38" i="3"/>
  <c r="BJ19" i="3"/>
  <c r="BK19" i="3" s="1"/>
  <c r="BL19" i="3"/>
  <c r="H31" i="15" l="1"/>
  <c r="I144" i="17"/>
  <c r="I164" i="17" s="1"/>
  <c r="I151" i="17"/>
  <c r="I165" i="17" s="1"/>
  <c r="H165" i="17"/>
  <c r="I26" i="2"/>
  <c r="F26" i="2"/>
  <c r="G26" i="2" s="1"/>
  <c r="H26" i="2" s="1"/>
  <c r="E26" i="2"/>
  <c r="D27" i="2"/>
  <c r="G25" i="2"/>
  <c r="H73" i="15"/>
  <c r="G160" i="15" s="1"/>
  <c r="AZ25" i="3"/>
  <c r="AX25" i="3"/>
  <c r="AY25" i="3" s="1"/>
  <c r="AZ24" i="3"/>
  <c r="AW26" i="3"/>
  <c r="AX24" i="3"/>
  <c r="C26" i="7"/>
  <c r="D26" i="7" s="1"/>
  <c r="E13" i="11" s="1"/>
  <c r="I68" i="17"/>
  <c r="H71" i="17"/>
  <c r="I71" i="17" s="1"/>
  <c r="Q19" i="3"/>
  <c r="R19" i="3" s="1"/>
  <c r="S19" i="3"/>
  <c r="Q20" i="3"/>
  <c r="R20" i="3" s="1"/>
  <c r="S20" i="3"/>
  <c r="Q18" i="3"/>
  <c r="R18" i="3" s="1"/>
  <c r="S18" i="3"/>
  <c r="Q17" i="3"/>
  <c r="R17" i="3" s="1"/>
  <c r="Q41" i="3"/>
  <c r="R41" i="3" s="1"/>
  <c r="R46" i="3" s="1"/>
  <c r="S41" i="3"/>
  <c r="V42" i="3"/>
  <c r="T42" i="3"/>
  <c r="E96" i="16"/>
  <c r="J47" i="3"/>
  <c r="H113" i="16"/>
  <c r="H161" i="16" s="1"/>
  <c r="I72" i="16"/>
  <c r="I73" i="16" s="1"/>
  <c r="I159" i="16" s="1"/>
  <c r="E42" i="16"/>
  <c r="D22" i="10"/>
  <c r="F22" i="10" s="1"/>
  <c r="E58" i="6"/>
  <c r="F58" i="6" s="1"/>
  <c r="I58" i="6" s="1"/>
  <c r="J58" i="6" s="1"/>
  <c r="F74" i="6" s="1"/>
  <c r="D21" i="6"/>
  <c r="F21" i="6" s="1"/>
  <c r="I21" i="6" s="1"/>
  <c r="J21" i="6" s="1"/>
  <c r="K21" i="6" s="1"/>
  <c r="D42" i="6" s="1"/>
  <c r="AO26" i="3"/>
  <c r="AP10" i="3"/>
  <c r="AP26" i="3" s="1"/>
  <c r="AA29" i="3"/>
  <c r="AA30" i="3" s="1"/>
  <c r="Z30" i="3"/>
  <c r="BL40" i="3"/>
  <c r="BJ40" i="3"/>
  <c r="BK40" i="3" s="1"/>
  <c r="AP33" i="3"/>
  <c r="AP35" i="3" s="1"/>
  <c r="AO35" i="3"/>
  <c r="AS29" i="3"/>
  <c r="AS30" i="3" s="1"/>
  <c r="AR30" i="3"/>
  <c r="L33" i="3"/>
  <c r="K35" i="3"/>
  <c r="K47" i="3" s="1"/>
  <c r="AS38" i="3"/>
  <c r="AQ35" i="3"/>
  <c r="AT33" i="3"/>
  <c r="AR33" i="3"/>
  <c r="AJ42" i="3"/>
  <c r="BO10" i="3"/>
  <c r="BM10" i="3"/>
  <c r="BO18" i="3"/>
  <c r="BM18" i="3"/>
  <c r="BN18" i="3" s="1"/>
  <c r="M35" i="3"/>
  <c r="M47" i="3" s="1"/>
  <c r="P33" i="3"/>
  <c r="N33" i="3"/>
  <c r="O29" i="3"/>
  <c r="O30" i="3" s="1"/>
  <c r="N30" i="3"/>
  <c r="BI34" i="3"/>
  <c r="BG34" i="3"/>
  <c r="BH34" i="3" s="1"/>
  <c r="D12" i="18"/>
  <c r="AQ26" i="3"/>
  <c r="AR10" i="3"/>
  <c r="AT10" i="3"/>
  <c r="BO17" i="3"/>
  <c r="BM17" i="3"/>
  <c r="BN17" i="3" s="1"/>
  <c r="AU38" i="3"/>
  <c r="O41" i="3"/>
  <c r="N46" i="3"/>
  <c r="BL45" i="3"/>
  <c r="BJ45" i="3"/>
  <c r="BK45" i="3" s="1"/>
  <c r="BK10" i="3"/>
  <c r="AC29" i="3"/>
  <c r="AB30" i="3"/>
  <c r="AD33" i="3"/>
  <c r="AD35" i="3" s="1"/>
  <c r="AC35" i="3"/>
  <c r="F47" i="3"/>
  <c r="H113" i="17"/>
  <c r="BK38" i="3"/>
  <c r="BU20" i="3"/>
  <c r="BS20" i="3"/>
  <c r="BT20" i="3" s="1"/>
  <c r="AN42" i="3"/>
  <c r="AL42" i="3"/>
  <c r="BO38" i="3"/>
  <c r="BM38" i="3"/>
  <c r="AU29" i="3"/>
  <c r="AW29" i="3"/>
  <c r="AT30" i="3"/>
  <c r="BO19" i="3"/>
  <c r="BM19" i="3"/>
  <c r="BN19" i="3" s="1"/>
  <c r="Q29" i="3"/>
  <c r="P30" i="3"/>
  <c r="C11" i="18"/>
  <c r="BX41" i="3"/>
  <c r="BY41" i="3" s="1"/>
  <c r="BV41" i="3"/>
  <c r="BW41" i="3" s="1"/>
  <c r="AT45" i="3"/>
  <c r="AU45" i="3" s="1"/>
  <c r="AV45" i="3" s="1"/>
  <c r="AR45" i="3"/>
  <c r="AS45" i="3" s="1"/>
  <c r="AE35" i="3"/>
  <c r="AF33" i="3"/>
  <c r="BR22" i="3"/>
  <c r="BP22" i="3"/>
  <c r="BQ22" i="3" s="1"/>
  <c r="BH40" i="3"/>
  <c r="F82" i="16"/>
  <c r="H82" i="16" s="1"/>
  <c r="I82" i="16" s="1"/>
  <c r="D82" i="17"/>
  <c r="F82" i="17" s="1"/>
  <c r="H82" i="17" s="1"/>
  <c r="I82" i="17" s="1"/>
  <c r="H25" i="2" l="1"/>
  <c r="I27" i="2"/>
  <c r="F27" i="2"/>
  <c r="E27" i="2"/>
  <c r="D28" i="2"/>
  <c r="D42" i="17"/>
  <c r="D96" i="17"/>
  <c r="C27" i="7"/>
  <c r="D27" i="7" s="1"/>
  <c r="F13" i="11" s="1"/>
  <c r="AY24" i="3"/>
  <c r="AY26" i="3" s="1"/>
  <c r="AX26" i="3"/>
  <c r="BC24" i="3"/>
  <c r="AZ26" i="3"/>
  <c r="BA24" i="3"/>
  <c r="BC25" i="3"/>
  <c r="BA25" i="3"/>
  <c r="BB25" i="3" s="1"/>
  <c r="H161" i="17"/>
  <c r="I113" i="17"/>
  <c r="I161" i="17" s="1"/>
  <c r="Z32" i="5"/>
  <c r="W32" i="5"/>
  <c r="T17" i="3"/>
  <c r="U17" i="3" s="1"/>
  <c r="V18" i="3"/>
  <c r="T18" i="3"/>
  <c r="U18" i="3" s="1"/>
  <c r="V20" i="3"/>
  <c r="T20" i="3"/>
  <c r="U20" i="3" s="1"/>
  <c r="V19" i="3"/>
  <c r="T19" i="3"/>
  <c r="U19" i="3" s="1"/>
  <c r="H73" i="17"/>
  <c r="Q46" i="3"/>
  <c r="V41" i="3"/>
  <c r="T41" i="3"/>
  <c r="U41" i="3" s="1"/>
  <c r="U42" i="3"/>
  <c r="S47" i="3"/>
  <c r="Y42" i="3"/>
  <c r="W42" i="3"/>
  <c r="H73" i="16"/>
  <c r="H159" i="16" s="1"/>
  <c r="AU30" i="3"/>
  <c r="AV29" i="3"/>
  <c r="AV30" i="3" s="1"/>
  <c r="AC30" i="3"/>
  <c r="AD29" i="3"/>
  <c r="AD30" i="3" s="1"/>
  <c r="AR26" i="3"/>
  <c r="AS10" i="3"/>
  <c r="AS26" i="3" s="1"/>
  <c r="AM42" i="3"/>
  <c r="C12" i="18"/>
  <c r="O46" i="3"/>
  <c r="AR35" i="3"/>
  <c r="AS33" i="3"/>
  <c r="AS35" i="3" s="1"/>
  <c r="D58" i="10"/>
  <c r="F58" i="10" s="1"/>
  <c r="BN38" i="3"/>
  <c r="AF29" i="3"/>
  <c r="AE30" i="3"/>
  <c r="AZ29" i="3"/>
  <c r="AW30" i="3"/>
  <c r="AX29" i="3"/>
  <c r="AO42" i="3"/>
  <c r="AQ42" i="3"/>
  <c r="AV38" i="3"/>
  <c r="AT26" i="3"/>
  <c r="AU10" i="3"/>
  <c r="N35" i="3"/>
  <c r="N47" i="3" s="1"/>
  <c r="O33" i="3"/>
  <c r="O35" i="3" s="1"/>
  <c r="BP18" i="3"/>
  <c r="BQ18" i="3" s="1"/>
  <c r="BR18" i="3"/>
  <c r="AT35" i="3"/>
  <c r="AW33" i="3"/>
  <c r="AU33" i="3"/>
  <c r="P35" i="3"/>
  <c r="P47" i="3" s="1"/>
  <c r="Q33" i="3"/>
  <c r="BM45" i="3"/>
  <c r="BN45" i="3" s="1"/>
  <c r="BO45" i="3"/>
  <c r="BL34" i="3"/>
  <c r="BJ34" i="3"/>
  <c r="BK34" i="3" s="1"/>
  <c r="BP19" i="3"/>
  <c r="BQ19" i="3" s="1"/>
  <c r="BR19" i="3"/>
  <c r="BP17" i="3"/>
  <c r="BQ17" i="3" s="1"/>
  <c r="BR17" i="3"/>
  <c r="BN10" i="3"/>
  <c r="L35" i="3"/>
  <c r="BO40" i="3"/>
  <c r="BM40" i="3"/>
  <c r="BN40" i="3" s="1"/>
  <c r="BR38" i="3"/>
  <c r="BP38" i="3"/>
  <c r="AH46" i="3"/>
  <c r="AG33" i="3"/>
  <c r="AG35" i="3" s="1"/>
  <c r="AF35" i="3"/>
  <c r="BU22" i="3"/>
  <c r="BS22" i="3"/>
  <c r="BT22" i="3" s="1"/>
  <c r="Q30" i="3"/>
  <c r="R29" i="3"/>
  <c r="BX20" i="3"/>
  <c r="BY20" i="3" s="1"/>
  <c r="BZ20" i="3" s="1"/>
  <c r="BV20" i="3"/>
  <c r="BW20" i="3" s="1"/>
  <c r="BP10" i="3"/>
  <c r="BR10" i="3"/>
  <c r="I28" i="2" l="1"/>
  <c r="F28" i="2"/>
  <c r="G28" i="2" s="1"/>
  <c r="H28" i="2" s="1"/>
  <c r="E28" i="2"/>
  <c r="D29" i="2"/>
  <c r="G27" i="2"/>
  <c r="C28" i="7"/>
  <c r="D28" i="7" s="1"/>
  <c r="G13" i="11" s="1"/>
  <c r="BF25" i="3"/>
  <c r="BD25" i="3"/>
  <c r="BE25" i="3" s="1"/>
  <c r="BB24" i="3"/>
  <c r="BB26" i="3" s="1"/>
  <c r="BA26" i="3"/>
  <c r="BF24" i="3"/>
  <c r="BD24" i="3"/>
  <c r="BC26" i="3"/>
  <c r="H159" i="17"/>
  <c r="I73" i="17"/>
  <c r="I159" i="17" s="1"/>
  <c r="W35" i="5"/>
  <c r="Y20" i="3"/>
  <c r="W20" i="3"/>
  <c r="X20" i="3" s="1"/>
  <c r="Y19" i="3"/>
  <c r="W19" i="3"/>
  <c r="X19" i="3" s="1"/>
  <c r="Y18" i="3"/>
  <c r="W18" i="3"/>
  <c r="X18" i="3" s="1"/>
  <c r="Y17" i="3"/>
  <c r="W17" i="3"/>
  <c r="X17" i="3" s="1"/>
  <c r="T46" i="3"/>
  <c r="T47" i="3" s="1"/>
  <c r="Y41" i="3"/>
  <c r="W41" i="3"/>
  <c r="X41" i="3" s="1"/>
  <c r="U46" i="3"/>
  <c r="X42" i="3"/>
  <c r="V47" i="3"/>
  <c r="AB42" i="3"/>
  <c r="Z42" i="3"/>
  <c r="O47" i="3"/>
  <c r="BQ38" i="3"/>
  <c r="AY29" i="3"/>
  <c r="AY30" i="3" s="1"/>
  <c r="AX30" i="3"/>
  <c r="BQ10" i="3"/>
  <c r="BU38" i="3"/>
  <c r="BS38" i="3"/>
  <c r="BR40" i="3"/>
  <c r="BP40" i="3"/>
  <c r="BQ40" i="3" s="1"/>
  <c r="BR45" i="3"/>
  <c r="BP45" i="3"/>
  <c r="BQ45" i="3" s="1"/>
  <c r="AV33" i="3"/>
  <c r="AV35" i="3" s="1"/>
  <c r="AU35" i="3"/>
  <c r="AI46" i="3"/>
  <c r="AI47" i="3" s="1"/>
  <c r="BU17" i="3"/>
  <c r="BS17" i="3"/>
  <c r="BT17" i="3" s="1"/>
  <c r="AW35" i="3"/>
  <c r="AZ33" i="3"/>
  <c r="AX33" i="3"/>
  <c r="AU26" i="3"/>
  <c r="AV10" i="3"/>
  <c r="AV26" i="3" s="1"/>
  <c r="BA29" i="3"/>
  <c r="AZ30" i="3"/>
  <c r="BC29" i="3"/>
  <c r="BO34" i="3"/>
  <c r="BM34" i="3"/>
  <c r="BN34" i="3" s="1"/>
  <c r="AP42" i="3"/>
  <c r="BV22" i="3"/>
  <c r="BW22" i="3" s="1"/>
  <c r="BX22" i="3"/>
  <c r="BY22" i="3" s="1"/>
  <c r="R30" i="3"/>
  <c r="AH47" i="3"/>
  <c r="AH49" i="3"/>
  <c r="L47" i="3"/>
  <c r="BU19" i="3"/>
  <c r="BS19" i="3"/>
  <c r="BT19" i="3" s="1"/>
  <c r="R33" i="3"/>
  <c r="Q35" i="3"/>
  <c r="Q47" i="3" s="1"/>
  <c r="BU10" i="3"/>
  <c r="BS10" i="3"/>
  <c r="AG29" i="3"/>
  <c r="AG30" i="3" s="1"/>
  <c r="AF30" i="3"/>
  <c r="AK46" i="3"/>
  <c r="BU18" i="3"/>
  <c r="BS18" i="3"/>
  <c r="BT18" i="3" s="1"/>
  <c r="AT42" i="3"/>
  <c r="AW42" i="3" s="1"/>
  <c r="AR42" i="3"/>
  <c r="H27" i="2" l="1"/>
  <c r="I29" i="2"/>
  <c r="F29" i="2"/>
  <c r="E29" i="2"/>
  <c r="D30" i="2"/>
  <c r="C29" i="7"/>
  <c r="AZ42" i="3"/>
  <c r="AW46" i="3"/>
  <c r="AX42" i="3"/>
  <c r="AW47" i="3"/>
  <c r="BI24" i="3"/>
  <c r="BG24" i="3"/>
  <c r="BF26" i="3"/>
  <c r="BE24" i="3"/>
  <c r="BE26" i="3" s="1"/>
  <c r="BD26" i="3"/>
  <c r="BI25" i="3"/>
  <c r="BG25" i="3"/>
  <c r="BH25" i="3" s="1"/>
  <c r="E96" i="17"/>
  <c r="F96" i="17" s="1"/>
  <c r="H96" i="17" s="1"/>
  <c r="E42" i="17"/>
  <c r="F42" i="17" s="1"/>
  <c r="H42" i="17" s="1"/>
  <c r="I42" i="17" s="1"/>
  <c r="AB18" i="3"/>
  <c r="Z18" i="3"/>
  <c r="AA18" i="3" s="1"/>
  <c r="AB20" i="3"/>
  <c r="Z20" i="3"/>
  <c r="AA20" i="3" s="1"/>
  <c r="AB17" i="3"/>
  <c r="Z17" i="3"/>
  <c r="AA17" i="3" s="1"/>
  <c r="AB19" i="3"/>
  <c r="Z19" i="3"/>
  <c r="AA19" i="3" s="1"/>
  <c r="H14" i="11"/>
  <c r="C30" i="7"/>
  <c r="D30" i="7" s="1"/>
  <c r="I13" i="11" s="1"/>
  <c r="D29" i="7"/>
  <c r="H13" i="11" s="1"/>
  <c r="X46" i="3"/>
  <c r="W46" i="3"/>
  <c r="W47" i="3" s="1"/>
  <c r="U47" i="3"/>
  <c r="AB41" i="3"/>
  <c r="Z41" i="3"/>
  <c r="AA41" i="3" s="1"/>
  <c r="Y47" i="3"/>
  <c r="AA42" i="3"/>
  <c r="AF42" i="3"/>
  <c r="AC42" i="3"/>
  <c r="BT10" i="3"/>
  <c r="BF29" i="3"/>
  <c r="BC30" i="3"/>
  <c r="BD29" i="3"/>
  <c r="R35" i="3"/>
  <c r="BA30" i="3"/>
  <c r="BB29" i="3"/>
  <c r="BV17" i="3"/>
  <c r="BW17" i="3" s="1"/>
  <c r="BX17" i="3"/>
  <c r="BY17" i="3" s="1"/>
  <c r="I126" i="16"/>
  <c r="BU40" i="3"/>
  <c r="BS40" i="3"/>
  <c r="BT40" i="3" s="1"/>
  <c r="AS42" i="3"/>
  <c r="AZ35" i="3"/>
  <c r="BC33" i="3"/>
  <c r="BA33" i="3"/>
  <c r="AU42" i="3"/>
  <c r="BV10" i="3"/>
  <c r="BX10" i="3"/>
  <c r="BT38" i="3"/>
  <c r="BV18" i="3"/>
  <c r="BW18" i="3" s="1"/>
  <c r="BX18" i="3"/>
  <c r="BY18" i="3" s="1"/>
  <c r="AK47" i="3"/>
  <c r="AK49" i="3"/>
  <c r="BR34" i="3"/>
  <c r="BP34" i="3"/>
  <c r="BQ34" i="3" s="1"/>
  <c r="AJ46" i="3"/>
  <c r="AJ49" i="3" s="1"/>
  <c r="AW49" i="3"/>
  <c r="BS45" i="3"/>
  <c r="BT45" i="3" s="1"/>
  <c r="BU45" i="3"/>
  <c r="BV19" i="3"/>
  <c r="BW19" i="3" s="1"/>
  <c r="BX19" i="3"/>
  <c r="BY19" i="3" s="1"/>
  <c r="AM46" i="3"/>
  <c r="AM49" i="3" s="1"/>
  <c r="AL46" i="3"/>
  <c r="AL47" i="3" s="1"/>
  <c r="AX35" i="3"/>
  <c r="AY33" i="3"/>
  <c r="AY35" i="3" s="1"/>
  <c r="BX38" i="3"/>
  <c r="BV38" i="3"/>
  <c r="I30" i="2" l="1"/>
  <c r="F30" i="2"/>
  <c r="G30" i="2" s="1"/>
  <c r="H30" i="2" s="1"/>
  <c r="E30" i="2"/>
  <c r="D31" i="2"/>
  <c r="G29" i="2"/>
  <c r="H11" i="11"/>
  <c r="I96" i="17"/>
  <c r="H99" i="17"/>
  <c r="I99" i="17" s="1"/>
  <c r="I100" i="17" s="1"/>
  <c r="I160" i="17" s="1"/>
  <c r="AY42" i="3"/>
  <c r="AY46" i="3" s="1"/>
  <c r="AX46" i="3"/>
  <c r="AX47" i="3" s="1"/>
  <c r="BC42" i="3"/>
  <c r="AZ46" i="3"/>
  <c r="AZ47" i="3" s="1"/>
  <c r="BA42" i="3"/>
  <c r="AY47" i="3"/>
  <c r="AY49" i="3"/>
  <c r="BH24" i="3"/>
  <c r="BG26" i="3"/>
  <c r="BJ25" i="3"/>
  <c r="BK25" i="3" s="1"/>
  <c r="BL25" i="3"/>
  <c r="BL24" i="3"/>
  <c r="BJ24" i="3"/>
  <c r="BI26" i="3"/>
  <c r="C31" i="7"/>
  <c r="D31" i="7" s="1"/>
  <c r="J13" i="11" s="1"/>
  <c r="D59" i="6"/>
  <c r="E59" i="6" s="1"/>
  <c r="F59" i="6" s="1"/>
  <c r="I59" i="6" s="1"/>
  <c r="J59" i="6" s="1"/>
  <c r="F75" i="6" s="1"/>
  <c r="D22" i="6"/>
  <c r="F22" i="6" s="1"/>
  <c r="I22" i="6" s="1"/>
  <c r="J22" i="6" s="1"/>
  <c r="K22" i="6" s="1"/>
  <c r="D43" i="6" s="1"/>
  <c r="D23" i="10"/>
  <c r="F23" i="10" s="1"/>
  <c r="AC17" i="3"/>
  <c r="AD17" i="3" s="1"/>
  <c r="AE17" i="3"/>
  <c r="AF17" i="3" s="1"/>
  <c r="AG17" i="3" s="1"/>
  <c r="AC19" i="3"/>
  <c r="AD19" i="3" s="1"/>
  <c r="AE19" i="3"/>
  <c r="AF19" i="3" s="1"/>
  <c r="AG19" i="3" s="1"/>
  <c r="AE18" i="3"/>
  <c r="AF18" i="3" s="1"/>
  <c r="AG18" i="3" s="1"/>
  <c r="AC18" i="3"/>
  <c r="AD18" i="3" s="1"/>
  <c r="AE20" i="3"/>
  <c r="AF20" i="3" s="1"/>
  <c r="AG20" i="3" s="1"/>
  <c r="AC20" i="3"/>
  <c r="AD20" i="3" s="1"/>
  <c r="X47" i="3"/>
  <c r="Z46" i="3"/>
  <c r="Z47" i="3" s="1"/>
  <c r="AA46" i="3"/>
  <c r="AA47" i="3" s="1"/>
  <c r="AF41" i="3"/>
  <c r="AG41" i="3" s="1"/>
  <c r="AC41" i="3"/>
  <c r="AD41" i="3" s="1"/>
  <c r="AD42" i="3"/>
  <c r="AG42" i="3"/>
  <c r="J14" i="11"/>
  <c r="J11" i="11" s="1"/>
  <c r="J11" i="18" s="1"/>
  <c r="R47" i="3"/>
  <c r="BY38" i="3"/>
  <c r="AJ47" i="3"/>
  <c r="BW10" i="3"/>
  <c r="BX40" i="3"/>
  <c r="BY40" i="3" s="1"/>
  <c r="BV40" i="3"/>
  <c r="BW40" i="3" s="1"/>
  <c r="BB30" i="3"/>
  <c r="AQ46" i="3"/>
  <c r="BB33" i="3"/>
  <c r="BA35" i="3"/>
  <c r="AO46" i="3"/>
  <c r="AO47" i="3" s="1"/>
  <c r="BC35" i="3"/>
  <c r="BF33" i="3"/>
  <c r="BD33" i="3"/>
  <c r="AM47" i="3"/>
  <c r="AV42" i="3"/>
  <c r="I14" i="11"/>
  <c r="AZ49" i="3"/>
  <c r="BE29" i="3"/>
  <c r="BE30" i="3" s="1"/>
  <c r="BD30" i="3"/>
  <c r="BX45" i="3"/>
  <c r="BY45" i="3" s="1"/>
  <c r="BV45" i="3"/>
  <c r="BW45" i="3" s="1"/>
  <c r="BU34" i="3"/>
  <c r="BS34" i="3"/>
  <c r="BT34" i="3" s="1"/>
  <c r="BW38" i="3"/>
  <c r="BY10" i="3"/>
  <c r="BG29" i="3"/>
  <c r="BF30" i="3"/>
  <c r="BI29" i="3"/>
  <c r="H100" i="17" l="1"/>
  <c r="H160" i="17" s="1"/>
  <c r="H29" i="2"/>
  <c r="I31" i="2"/>
  <c r="F31" i="2"/>
  <c r="E31" i="2"/>
  <c r="D32" i="2"/>
  <c r="I11" i="11"/>
  <c r="I11" i="18" s="1"/>
  <c r="H11" i="18"/>
  <c r="BB42" i="3"/>
  <c r="BB46" i="3" s="1"/>
  <c r="BA46" i="3"/>
  <c r="BA47" i="3" s="1"/>
  <c r="BF42" i="3"/>
  <c r="BC46" i="3"/>
  <c r="BC47" i="3" s="1"/>
  <c r="BD42" i="3"/>
  <c r="BM24" i="3"/>
  <c r="BO24" i="3"/>
  <c r="BL26" i="3"/>
  <c r="BO25" i="3"/>
  <c r="BM25" i="3"/>
  <c r="BN25" i="3" s="1"/>
  <c r="BK24" i="3"/>
  <c r="BK26" i="3" s="1"/>
  <c r="BJ26" i="3"/>
  <c r="BH26" i="3"/>
  <c r="C32" i="7"/>
  <c r="D32" i="7" s="1"/>
  <c r="K13" i="11" s="1"/>
  <c r="D59" i="10"/>
  <c r="F59" i="10" s="1"/>
  <c r="AF46" i="3"/>
  <c r="AF47" i="3" s="1"/>
  <c r="J12" i="18"/>
  <c r="BC49" i="3"/>
  <c r="AQ47" i="3"/>
  <c r="AQ49" i="3"/>
  <c r="AR46" i="3"/>
  <c r="BX34" i="3"/>
  <c r="BY34" i="3" s="1"/>
  <c r="BV34" i="3"/>
  <c r="BW34" i="3" s="1"/>
  <c r="N12" i="18"/>
  <c r="AT46" i="3"/>
  <c r="BE33" i="3"/>
  <c r="BE35" i="3" s="1"/>
  <c r="BD35" i="3"/>
  <c r="BL29" i="3"/>
  <c r="BI30" i="3"/>
  <c r="BJ29" i="3"/>
  <c r="BG30" i="3"/>
  <c r="BH29" i="3"/>
  <c r="BH30" i="3" s="1"/>
  <c r="BF35" i="3"/>
  <c r="BI33" i="3"/>
  <c r="BG33" i="3"/>
  <c r="BB35" i="3"/>
  <c r="BB49" i="3" s="1"/>
  <c r="I32" i="2" l="1"/>
  <c r="F32" i="2"/>
  <c r="G32" i="2" s="1"/>
  <c r="H32" i="2" s="1"/>
  <c r="E32" i="2"/>
  <c r="D33" i="2"/>
  <c r="G31" i="2"/>
  <c r="BE42" i="3"/>
  <c r="BD46" i="3"/>
  <c r="BD47" i="3" s="1"/>
  <c r="BI42" i="3"/>
  <c r="BG42" i="3"/>
  <c r="BF46" i="3"/>
  <c r="BF47" i="3" s="1"/>
  <c r="BP25" i="3"/>
  <c r="BQ25" i="3" s="1"/>
  <c r="BR25" i="3"/>
  <c r="BR24" i="3"/>
  <c r="BP24" i="3"/>
  <c r="BO26" i="3"/>
  <c r="BN24" i="3"/>
  <c r="BN26" i="3" s="1"/>
  <c r="BM26" i="3"/>
  <c r="C33" i="7"/>
  <c r="D33" i="7" s="1"/>
  <c r="L13" i="11" s="1"/>
  <c r="K14" i="11"/>
  <c r="BM29" i="3"/>
  <c r="BL30" i="3"/>
  <c r="BO29" i="3"/>
  <c r="BG35" i="3"/>
  <c r="BH33" i="3"/>
  <c r="BI35" i="3"/>
  <c r="BL33" i="3"/>
  <c r="BJ33" i="3"/>
  <c r="BF49" i="3"/>
  <c r="AT47" i="3"/>
  <c r="AT49" i="3"/>
  <c r="BB47" i="3"/>
  <c r="BK29" i="3"/>
  <c r="BK30" i="3" s="1"/>
  <c r="BJ30" i="3"/>
  <c r="AV46" i="3"/>
  <c r="AU46" i="3"/>
  <c r="H31" i="2" l="1"/>
  <c r="I33" i="2"/>
  <c r="F33" i="2"/>
  <c r="E33" i="2"/>
  <c r="D34" i="2"/>
  <c r="K11" i="11"/>
  <c r="BH42" i="3"/>
  <c r="BH46" i="3" s="1"/>
  <c r="BG46" i="3"/>
  <c r="BG47" i="3" s="1"/>
  <c r="BL42" i="3"/>
  <c r="BJ42" i="3"/>
  <c r="BI46" i="3"/>
  <c r="BI47" i="3" s="1"/>
  <c r="BE46" i="3"/>
  <c r="BQ24" i="3"/>
  <c r="BQ26" i="3" s="1"/>
  <c r="BP26" i="3"/>
  <c r="BU24" i="3"/>
  <c r="BS24" i="3"/>
  <c r="BR26" i="3"/>
  <c r="BU25" i="3"/>
  <c r="BS25" i="3"/>
  <c r="BT25" i="3" s="1"/>
  <c r="L14" i="11"/>
  <c r="M14" i="11"/>
  <c r="M11" i="11" s="1"/>
  <c r="M11" i="18" s="1"/>
  <c r="BI49" i="3"/>
  <c r="E44" i="4"/>
  <c r="BL35" i="3"/>
  <c r="BO33" i="3"/>
  <c r="BM33" i="3"/>
  <c r="AV47" i="3"/>
  <c r="BH35" i="3"/>
  <c r="BH49" i="3" s="1"/>
  <c r="O12" i="18"/>
  <c r="BM30" i="3"/>
  <c r="BN29" i="3"/>
  <c r="BJ35" i="3"/>
  <c r="BK33" i="3"/>
  <c r="BK35" i="3" s="1"/>
  <c r="BR29" i="3"/>
  <c r="BO30" i="3"/>
  <c r="BP29" i="3"/>
  <c r="I34" i="2" l="1"/>
  <c r="F34" i="2"/>
  <c r="G34" i="2" s="1"/>
  <c r="H34" i="2" s="1"/>
  <c r="E34" i="2"/>
  <c r="D35" i="2"/>
  <c r="G33" i="2"/>
  <c r="L11" i="11"/>
  <c r="L11" i="18" s="1"/>
  <c r="K11" i="18"/>
  <c r="BE47" i="3"/>
  <c r="BE49" i="3"/>
  <c r="BK42" i="3"/>
  <c r="BJ46" i="3"/>
  <c r="BJ47" i="3" s="1"/>
  <c r="BO42" i="3"/>
  <c r="BM42" i="3"/>
  <c r="BL46" i="3"/>
  <c r="BL49" i="3" s="1"/>
  <c r="BT24" i="3"/>
  <c r="BS26" i="3"/>
  <c r="BV25" i="3"/>
  <c r="BW25" i="3" s="1"/>
  <c r="BX25" i="3"/>
  <c r="BY25" i="3" s="1"/>
  <c r="BV24" i="3"/>
  <c r="BX24" i="3"/>
  <c r="BU26" i="3"/>
  <c r="N14" i="11"/>
  <c r="C13" i="4"/>
  <c r="BQ29" i="3"/>
  <c r="BQ30" i="3" s="1"/>
  <c r="BP30" i="3"/>
  <c r="BO35" i="3"/>
  <c r="BR33" i="3"/>
  <c r="BP33" i="3"/>
  <c r="BS29" i="3"/>
  <c r="BR30" i="3"/>
  <c r="BU29" i="3"/>
  <c r="BH47" i="3"/>
  <c r="BN30" i="3"/>
  <c r="BL47" i="3"/>
  <c r="BN33" i="3"/>
  <c r="BM35" i="3"/>
  <c r="H33" i="2" l="1"/>
  <c r="I35" i="2"/>
  <c r="F35" i="2"/>
  <c r="E35" i="2"/>
  <c r="D36" i="2"/>
  <c r="N11" i="11"/>
  <c r="E43" i="4"/>
  <c r="BN42" i="3"/>
  <c r="BN46" i="3" s="1"/>
  <c r="BM46" i="3"/>
  <c r="BM47" i="3" s="1"/>
  <c r="BR42" i="3"/>
  <c r="BP42" i="3"/>
  <c r="BO46" i="3"/>
  <c r="BO49" i="3" s="1"/>
  <c r="BK46" i="3"/>
  <c r="D40" i="15"/>
  <c r="F40" i="15" s="1"/>
  <c r="BY24" i="3"/>
  <c r="BX26" i="3"/>
  <c r="BW24" i="3"/>
  <c r="BW26" i="3" s="1"/>
  <c r="BV26" i="3"/>
  <c r="BT26" i="3"/>
  <c r="E13" i="4"/>
  <c r="D13" i="4"/>
  <c r="O14" i="11"/>
  <c r="BN35" i="3"/>
  <c r="BS30" i="3"/>
  <c r="BT29" i="3"/>
  <c r="BT30" i="3" s="1"/>
  <c r="BP35" i="3"/>
  <c r="BQ33" i="3"/>
  <c r="BQ35" i="3" s="1"/>
  <c r="BX29" i="3"/>
  <c r="BU30" i="3"/>
  <c r="BV29" i="3"/>
  <c r="BR35" i="3"/>
  <c r="BU33" i="3"/>
  <c r="BS33" i="3"/>
  <c r="I36" i="2" l="1"/>
  <c r="F36" i="2"/>
  <c r="G36" i="2" s="1"/>
  <c r="H36" i="2" s="1"/>
  <c r="E36" i="2"/>
  <c r="D37" i="2"/>
  <c r="C12" i="13"/>
  <c r="G35" i="2"/>
  <c r="O11" i="11"/>
  <c r="O11" i="18" s="1"/>
  <c r="N11" i="18"/>
  <c r="BO47" i="3"/>
  <c r="BK47" i="3"/>
  <c r="BK49" i="3"/>
  <c r="BQ42" i="3"/>
  <c r="BP46" i="3"/>
  <c r="BP47" i="3" s="1"/>
  <c r="BS42" i="3"/>
  <c r="BU42" i="3"/>
  <c r="BR46" i="3"/>
  <c r="BR49" i="3" s="1"/>
  <c r="BN47" i="3"/>
  <c r="BN49" i="3"/>
  <c r="BY26" i="3"/>
  <c r="D41" i="15"/>
  <c r="F41" i="15" s="1"/>
  <c r="G41" i="15" s="1"/>
  <c r="G40" i="15"/>
  <c r="D40" i="16"/>
  <c r="D63" i="12"/>
  <c r="D73" i="12" s="1"/>
  <c r="BT33" i="3"/>
  <c r="BS35" i="3"/>
  <c r="BU35" i="3"/>
  <c r="BX33" i="3"/>
  <c r="BV33" i="3"/>
  <c r="P14" i="11"/>
  <c r="BW29" i="3"/>
  <c r="BV30" i="3"/>
  <c r="BY29" i="3"/>
  <c r="BX30" i="3"/>
  <c r="H35" i="2" l="1"/>
  <c r="I37" i="2"/>
  <c r="F37" i="2"/>
  <c r="E37" i="2"/>
  <c r="D38" i="2"/>
  <c r="P11" i="11"/>
  <c r="BR47" i="3"/>
  <c r="BX42" i="3"/>
  <c r="BV42" i="3"/>
  <c r="BT42" i="3"/>
  <c r="BT46" i="3" s="1"/>
  <c r="BS46" i="3"/>
  <c r="BS47" i="3" s="1"/>
  <c r="BQ46" i="3"/>
  <c r="D38" i="15"/>
  <c r="F38" i="15" s="1"/>
  <c r="G38" i="15" s="1"/>
  <c r="G21" i="10"/>
  <c r="I21" i="10" s="1"/>
  <c r="D41" i="16"/>
  <c r="BW33" i="3"/>
  <c r="BW35" i="3" s="1"/>
  <c r="BV35" i="3"/>
  <c r="BY30" i="3"/>
  <c r="Q14" i="11"/>
  <c r="BX35" i="3"/>
  <c r="BY33" i="3"/>
  <c r="BW30" i="3"/>
  <c r="BT35" i="3"/>
  <c r="BT49" i="3" s="1"/>
  <c r="I38" i="2" l="1"/>
  <c r="F38" i="2"/>
  <c r="G38" i="2" s="1"/>
  <c r="H38" i="2" s="1"/>
  <c r="E38" i="2"/>
  <c r="D39" i="2"/>
  <c r="G37" i="2"/>
  <c r="Q11" i="11"/>
  <c r="Q11" i="18" s="1"/>
  <c r="P11" i="18"/>
  <c r="BQ47" i="3"/>
  <c r="BQ49" i="3"/>
  <c r="BW42" i="3"/>
  <c r="BY42" i="3"/>
  <c r="G57" i="10"/>
  <c r="I57" i="10" s="1"/>
  <c r="D34" i="6"/>
  <c r="F34" i="6" s="1"/>
  <c r="I34" i="6" s="1"/>
  <c r="J34" i="6" s="1"/>
  <c r="K34" i="6" s="1"/>
  <c r="F41" i="6" s="1"/>
  <c r="D38" i="16"/>
  <c r="BY35" i="3"/>
  <c r="BT47" i="3"/>
  <c r="E15" i="13"/>
  <c r="E17" i="13" s="1"/>
  <c r="E18" i="13" s="1"/>
  <c r="E21" i="13" s="1"/>
  <c r="E23" i="13" s="1"/>
  <c r="G44" i="4"/>
  <c r="D39" i="15"/>
  <c r="F39" i="15" s="1"/>
  <c r="G39" i="15" s="1"/>
  <c r="J57" i="10"/>
  <c r="L57" i="10" s="1"/>
  <c r="D27" i="6"/>
  <c r="F27" i="6" s="1"/>
  <c r="I27" i="6" s="1"/>
  <c r="J27" i="6" s="1"/>
  <c r="K27" i="6" s="1"/>
  <c r="E41" i="6" s="1"/>
  <c r="R14" i="11"/>
  <c r="H37" i="2" l="1"/>
  <c r="I39" i="2"/>
  <c r="F39" i="2"/>
  <c r="E39" i="2"/>
  <c r="D40" i="2"/>
  <c r="R11" i="11"/>
  <c r="BY46" i="3"/>
  <c r="BY47" i="3" s="1"/>
  <c r="D39" i="16"/>
  <c r="G43" i="4"/>
  <c r="C14" i="4"/>
  <c r="S14" i="11"/>
  <c r="D15" i="13"/>
  <c r="D17" i="13" s="1"/>
  <c r="D18" i="13" s="1"/>
  <c r="D21" i="13" s="1"/>
  <c r="D23" i="13" s="1"/>
  <c r="C15" i="13"/>
  <c r="C17" i="13" s="1"/>
  <c r="C18" i="13" s="1"/>
  <c r="C21" i="13" s="1"/>
  <c r="C23" i="13" s="1"/>
  <c r="I40" i="2" l="1"/>
  <c r="F40" i="2"/>
  <c r="G40" i="2" s="1"/>
  <c r="H40" i="2" s="1"/>
  <c r="E40" i="2"/>
  <c r="D41" i="2"/>
  <c r="G39" i="2"/>
  <c r="C26" i="13"/>
  <c r="C25" i="13"/>
  <c r="C24" i="13"/>
  <c r="C27" i="13" s="1"/>
  <c r="D37" i="13"/>
  <c r="D35" i="13"/>
  <c r="D33" i="13"/>
  <c r="D34" i="13" s="1"/>
  <c r="D29" i="13"/>
  <c r="D30" i="13" s="1"/>
  <c r="S11" i="11"/>
  <c r="S11" i="18" s="1"/>
  <c r="R11" i="18"/>
  <c r="E14" i="4"/>
  <c r="D14" i="4"/>
  <c r="D28" i="13"/>
  <c r="D38" i="13" s="1"/>
  <c r="T14" i="11"/>
  <c r="D16" i="17"/>
  <c r="H39" i="2" l="1"/>
  <c r="I41" i="2"/>
  <c r="F41" i="2"/>
  <c r="E41" i="2"/>
  <c r="D42" i="2"/>
  <c r="T11" i="11"/>
  <c r="D49" i="13"/>
  <c r="Y12" i="18"/>
  <c r="CA47" i="3"/>
  <c r="D35" i="6"/>
  <c r="F35" i="6" s="1"/>
  <c r="I35" i="6" s="1"/>
  <c r="J35" i="6" s="1"/>
  <c r="K35" i="6" s="1"/>
  <c r="F42" i="6" s="1"/>
  <c r="E40" i="16"/>
  <c r="F40" i="16" s="1"/>
  <c r="H40" i="16" s="1"/>
  <c r="I40" i="16" s="1"/>
  <c r="D40" i="17"/>
  <c r="C34" i="7"/>
  <c r="U14" i="11"/>
  <c r="F16" i="16"/>
  <c r="H16" i="16" s="1"/>
  <c r="E41" i="16"/>
  <c r="D41" i="17" s="1"/>
  <c r="I42" i="2" l="1"/>
  <c r="F42" i="2"/>
  <c r="G42" i="2" s="1"/>
  <c r="H42" i="2" s="1"/>
  <c r="E42" i="2"/>
  <c r="D43" i="2"/>
  <c r="G41" i="2"/>
  <c r="U11" i="11"/>
  <c r="U11" i="18" s="1"/>
  <c r="T11" i="18"/>
  <c r="Z12" i="18"/>
  <c r="AB12" i="18"/>
  <c r="E38" i="16"/>
  <c r="D34" i="7"/>
  <c r="M13" i="11" s="1"/>
  <c r="C35" i="7"/>
  <c r="D35" i="7" s="1"/>
  <c r="N13" i="11" s="1"/>
  <c r="G22" i="10"/>
  <c r="I22" i="10" s="1"/>
  <c r="J22" i="10" s="1"/>
  <c r="M22" i="11" s="1"/>
  <c r="G58" i="10"/>
  <c r="I58" i="10" s="1"/>
  <c r="V14" i="11"/>
  <c r="F41" i="16"/>
  <c r="H41" i="16" s="1"/>
  <c r="I41" i="16" s="1"/>
  <c r="I16" i="16"/>
  <c r="H30" i="16"/>
  <c r="I30" i="16" s="1"/>
  <c r="I31" i="16" l="1"/>
  <c r="I157" i="16" s="1"/>
  <c r="H31" i="16"/>
  <c r="H157" i="16" s="1"/>
  <c r="H41" i="2"/>
  <c r="I43" i="2"/>
  <c r="F43" i="2"/>
  <c r="E43" i="2"/>
  <c r="D44" i="2"/>
  <c r="V11" i="11"/>
  <c r="N22" i="11"/>
  <c r="F38" i="16"/>
  <c r="H38" i="16" s="1"/>
  <c r="D38" i="17"/>
  <c r="C36" i="7"/>
  <c r="D36" i="7" s="1"/>
  <c r="O13" i="11" s="1"/>
  <c r="J58" i="10"/>
  <c r="W14" i="11"/>
  <c r="E39" i="16"/>
  <c r="D28" i="6"/>
  <c r="F28" i="6" s="1"/>
  <c r="I28" i="6" s="1"/>
  <c r="J28" i="6" s="1"/>
  <c r="K28" i="6" s="1"/>
  <c r="E42" i="6" s="1"/>
  <c r="G42" i="6" s="1"/>
  <c r="D74" i="6" s="1"/>
  <c r="F22" i="9"/>
  <c r="I44" i="2" l="1"/>
  <c r="F44" i="2"/>
  <c r="G44" i="2" s="1"/>
  <c r="H44" i="2" s="1"/>
  <c r="E44" i="2"/>
  <c r="D45" i="2"/>
  <c r="G43" i="2"/>
  <c r="W11" i="11"/>
  <c r="W11" i="18" s="1"/>
  <c r="V11" i="18"/>
  <c r="O22" i="11"/>
  <c r="P22" i="11" s="1"/>
  <c r="Q22" i="11" s="1"/>
  <c r="F39" i="16"/>
  <c r="H39" i="16" s="1"/>
  <c r="I39" i="16" s="1"/>
  <c r="D39" i="17"/>
  <c r="L58" i="10"/>
  <c r="M58" i="10" s="1"/>
  <c r="M28" i="11" s="1"/>
  <c r="I38" i="16"/>
  <c r="C37" i="7"/>
  <c r="D37" i="7" s="1"/>
  <c r="P13" i="11" s="1"/>
  <c r="E43" i="16"/>
  <c r="X14" i="11"/>
  <c r="H43" i="2" l="1"/>
  <c r="C12" i="14"/>
  <c r="I45" i="2"/>
  <c r="I46" i="2" s="1"/>
  <c r="D17" i="20" s="1"/>
  <c r="F45" i="2"/>
  <c r="E45" i="2"/>
  <c r="X11" i="11"/>
  <c r="N28" i="11"/>
  <c r="D43" i="17"/>
  <c r="C38" i="7"/>
  <c r="D38" i="7" s="1"/>
  <c r="Q13" i="11" s="1"/>
  <c r="Y14" i="11"/>
  <c r="G45" i="2" l="1"/>
  <c r="F46" i="2"/>
  <c r="E15" i="14"/>
  <c r="E17" i="14" s="1"/>
  <c r="E18" i="14" s="1"/>
  <c r="E21" i="14" s="1"/>
  <c r="E23" i="14" s="1"/>
  <c r="D15" i="14"/>
  <c r="D17" i="14" s="1"/>
  <c r="D18" i="14" s="1"/>
  <c r="D21" i="14" s="1"/>
  <c r="D23" i="14" s="1"/>
  <c r="C15" i="14"/>
  <c r="C17" i="14" s="1"/>
  <c r="C18" i="14" s="1"/>
  <c r="C21" i="14" s="1"/>
  <c r="C23" i="14" s="1"/>
  <c r="Y11" i="11"/>
  <c r="Y11" i="18" s="1"/>
  <c r="X11" i="18"/>
  <c r="O28" i="11"/>
  <c r="P28" i="11" s="1"/>
  <c r="Q28" i="11" s="1"/>
  <c r="Z14" i="11"/>
  <c r="H24" i="20"/>
  <c r="C26" i="14" l="1"/>
  <c r="C25" i="14"/>
  <c r="C24" i="14"/>
  <c r="C27" i="14" s="1"/>
  <c r="D35" i="14"/>
  <c r="D33" i="14"/>
  <c r="D34" i="14" s="1"/>
  <c r="D29" i="14"/>
  <c r="D30" i="14" s="1"/>
  <c r="H45" i="2"/>
  <c r="G46" i="2"/>
  <c r="H46" i="2" s="1"/>
  <c r="Z11" i="11"/>
  <c r="I44" i="4"/>
  <c r="F26" i="20"/>
  <c r="AA14" i="11"/>
  <c r="AA11" i="11" l="1"/>
  <c r="AA11" i="18" s="1"/>
  <c r="AB14" i="11"/>
  <c r="Z11" i="18"/>
  <c r="AB11" i="18" s="1"/>
  <c r="AB11" i="11"/>
  <c r="I43" i="4"/>
  <c r="C15" i="4"/>
  <c r="D37" i="14"/>
  <c r="D28" i="14"/>
  <c r="D38" i="14" s="1"/>
  <c r="D48" i="14" s="1"/>
  <c r="E41" i="17" l="1"/>
  <c r="F41" i="17" s="1"/>
  <c r="H41" i="17" s="1"/>
  <c r="I41" i="17" s="1"/>
  <c r="E15" i="4"/>
  <c r="D15" i="4"/>
  <c r="E40" i="17"/>
  <c r="F40" i="17" s="1"/>
  <c r="D19" i="20"/>
  <c r="F29" i="20" s="1"/>
  <c r="F16" i="17"/>
  <c r="H16" i="17" s="1"/>
  <c r="H30" i="17" l="1"/>
  <c r="H31" i="17" s="1"/>
  <c r="G59" i="10"/>
  <c r="I59" i="10" s="1"/>
  <c r="E38" i="17"/>
  <c r="F38" i="17" s="1"/>
  <c r="H38" i="17" s="1"/>
  <c r="I16" i="17"/>
  <c r="D36" i="6"/>
  <c r="F36" i="6" s="1"/>
  <c r="I36" i="6" s="1"/>
  <c r="J36" i="6" s="1"/>
  <c r="K36" i="6" s="1"/>
  <c r="F43" i="6" s="1"/>
  <c r="H40" i="17"/>
  <c r="C39" i="7"/>
  <c r="E39" i="17"/>
  <c r="F39" i="17" s="1"/>
  <c r="H39" i="17" s="1"/>
  <c r="I39" i="17" s="1"/>
  <c r="H157" i="17" l="1"/>
  <c r="I31" i="17"/>
  <c r="I157" i="17" s="1"/>
  <c r="I38" i="17"/>
  <c r="I30" i="17"/>
  <c r="I40" i="17"/>
  <c r="G23" i="10"/>
  <c r="I23" i="10" s="1"/>
  <c r="J23" i="10" s="1"/>
  <c r="R22" i="11" s="1"/>
  <c r="D39" i="7"/>
  <c r="R13" i="11" s="1"/>
  <c r="C40" i="7"/>
  <c r="D40" i="7" s="1"/>
  <c r="S13" i="11" s="1"/>
  <c r="D29" i="6"/>
  <c r="F29" i="6" s="1"/>
  <c r="I29" i="6" s="1"/>
  <c r="J29" i="6" s="1"/>
  <c r="K29" i="6" s="1"/>
  <c r="E43" i="6" s="1"/>
  <c r="G43" i="6" s="1"/>
  <c r="D75" i="6" s="1"/>
  <c r="J59" i="10"/>
  <c r="S22" i="11" l="1"/>
  <c r="T22" i="11" s="1"/>
  <c r="U22" i="11" s="1"/>
  <c r="V22" i="11" s="1"/>
  <c r="W22" i="11" s="1"/>
  <c r="X22" i="11" s="1"/>
  <c r="Y22" i="11" s="1"/>
  <c r="Z22" i="11" s="1"/>
  <c r="AA22" i="11" s="1"/>
  <c r="E43" i="17"/>
  <c r="F43" i="17" s="1"/>
  <c r="H43" i="17" s="1"/>
  <c r="I43" i="17" s="1"/>
  <c r="G22" i="9"/>
  <c r="C13" i="9"/>
  <c r="D13" i="9" s="1"/>
  <c r="C41" i="7"/>
  <c r="D41" i="7" s="1"/>
  <c r="T13" i="11" s="1"/>
  <c r="L59" i="10"/>
  <c r="H44" i="17" l="1"/>
  <c r="C20" i="9"/>
  <c r="G13" i="9"/>
  <c r="C21" i="11" s="1"/>
  <c r="E13" i="9"/>
  <c r="C21" i="9" s="1"/>
  <c r="M59" i="10"/>
  <c r="R28" i="11" s="1"/>
  <c r="I44" i="17"/>
  <c r="H45" i="17"/>
  <c r="D20" i="9"/>
  <c r="E20" i="9" s="1"/>
  <c r="F20" i="9" s="1"/>
  <c r="G20" i="9" s="1"/>
  <c r="C42" i="7"/>
  <c r="D42" i="7" s="1"/>
  <c r="U13" i="11" s="1"/>
  <c r="S28" i="11" l="1"/>
  <c r="T28" i="11" s="1"/>
  <c r="U28" i="11" s="1"/>
  <c r="V28" i="11" s="1"/>
  <c r="W28" i="11" s="1"/>
  <c r="X28" i="11" s="1"/>
  <c r="Y28" i="11" s="1"/>
  <c r="Z28" i="11" s="1"/>
  <c r="AA28" i="11" s="1"/>
  <c r="C24" i="9"/>
  <c r="C25" i="9" s="1"/>
  <c r="C20" i="11" s="1"/>
  <c r="D21" i="9"/>
  <c r="D21" i="11"/>
  <c r="I45" i="17"/>
  <c r="I46" i="17" s="1"/>
  <c r="I158" i="17" s="1"/>
  <c r="H46" i="17"/>
  <c r="H158" i="17" s="1"/>
  <c r="C43" i="7"/>
  <c r="D43" i="7" s="1"/>
  <c r="V13" i="11" s="1"/>
  <c r="E21" i="11" l="1"/>
  <c r="F21" i="11" s="1"/>
  <c r="G21" i="11" s="1"/>
  <c r="H21" i="11" s="1"/>
  <c r="I21" i="11" s="1"/>
  <c r="J21" i="11" s="1"/>
  <c r="K21" i="11" s="1"/>
  <c r="L21" i="11" s="1"/>
  <c r="M21" i="11" s="1"/>
  <c r="N21" i="11" s="1"/>
  <c r="O21" i="11" s="1"/>
  <c r="P21" i="11" s="1"/>
  <c r="Q21" i="11" s="1"/>
  <c r="R21" i="11" s="1"/>
  <c r="S21" i="11" s="1"/>
  <c r="T21" i="11" s="1"/>
  <c r="U21" i="11" s="1"/>
  <c r="V21" i="11" s="1"/>
  <c r="W21" i="11" s="1"/>
  <c r="X21" i="11" s="1"/>
  <c r="Y21" i="11" s="1"/>
  <c r="Z21" i="11" s="1"/>
  <c r="AA21" i="11" s="1"/>
  <c r="AB21" i="11"/>
  <c r="E21" i="9"/>
  <c r="C44" i="7"/>
  <c r="D44" i="7" s="1"/>
  <c r="W13" i="11" s="1"/>
  <c r="F21" i="9" l="1"/>
  <c r="C45" i="7"/>
  <c r="D45" i="7" s="1"/>
  <c r="X13" i="11" s="1"/>
  <c r="G21" i="9" l="1"/>
  <c r="C46" i="7"/>
  <c r="D46" i="7" s="1"/>
  <c r="Y13" i="11" s="1"/>
  <c r="C47" i="7" l="1"/>
  <c r="D47" i="7" s="1"/>
  <c r="Z13" i="11" s="1"/>
  <c r="C48" i="7" l="1"/>
  <c r="D48" i="7" s="1"/>
  <c r="AA13" i="11" s="1"/>
  <c r="D26" i="3" l="1"/>
  <c r="D49" i="3" s="1"/>
  <c r="G10" i="3"/>
  <c r="G26" i="3" s="1"/>
  <c r="G49" i="3" s="1"/>
  <c r="F59" i="4"/>
  <c r="F82" i="4" s="1"/>
  <c r="L13" i="5" l="1"/>
  <c r="H10" i="3"/>
  <c r="I10" i="3" s="1"/>
  <c r="J10" i="3"/>
  <c r="C27" i="11" l="1"/>
  <c r="AB27" i="11" s="1"/>
  <c r="S13" i="5"/>
  <c r="Z13" i="5"/>
  <c r="F120" i="17" s="1"/>
  <c r="H120" i="17" s="1"/>
  <c r="D70" i="12"/>
  <c r="D96" i="15"/>
  <c r="F26" i="3"/>
  <c r="C18" i="11"/>
  <c r="AB18" i="11" s="1"/>
  <c r="K10" i="3"/>
  <c r="J26" i="3"/>
  <c r="J49" i="3" s="1"/>
  <c r="M10" i="3"/>
  <c r="N10" i="3" s="1"/>
  <c r="O10" i="3" s="1"/>
  <c r="I26" i="3"/>
  <c r="C16" i="11"/>
  <c r="AB16" i="11" s="1"/>
  <c r="G96" i="15" l="1"/>
  <c r="G99" i="15" s="1"/>
  <c r="G100" i="15" s="1"/>
  <c r="I120" i="17"/>
  <c r="H127" i="17"/>
  <c r="D51" i="6"/>
  <c r="H51" i="6" s="1"/>
  <c r="I51" i="6" s="1"/>
  <c r="J51" i="6" s="1"/>
  <c r="E75" i="6" s="1"/>
  <c r="D50" i="6"/>
  <c r="H50" i="6" s="1"/>
  <c r="I50" i="6" s="1"/>
  <c r="J50" i="6" s="1"/>
  <c r="E74" i="6" s="1"/>
  <c r="C19" i="11"/>
  <c r="AB19" i="11" s="1"/>
  <c r="D120" i="16"/>
  <c r="F120" i="16" s="1"/>
  <c r="H120" i="16" s="1"/>
  <c r="D49" i="6"/>
  <c r="H49" i="6" s="1"/>
  <c r="I49" i="6" s="1"/>
  <c r="J49" i="6" s="1"/>
  <c r="E73" i="6" s="1"/>
  <c r="K26" i="3"/>
  <c r="L10" i="3"/>
  <c r="C13" i="18"/>
  <c r="F49" i="3"/>
  <c r="M26" i="3"/>
  <c r="M49" i="3" s="1"/>
  <c r="P10" i="3"/>
  <c r="Q10" i="3" s="1"/>
  <c r="R10" i="3" s="1"/>
  <c r="D96" i="16"/>
  <c r="F96" i="16" s="1"/>
  <c r="H96" i="16" s="1"/>
  <c r="D42" i="15"/>
  <c r="F42" i="15" s="1"/>
  <c r="G42" i="15" s="1"/>
  <c r="D21" i="10"/>
  <c r="F21" i="10" s="1"/>
  <c r="J21" i="10" s="1"/>
  <c r="D20" i="6"/>
  <c r="F20" i="6" s="1"/>
  <c r="I20" i="6" s="1"/>
  <c r="J20" i="6" s="1"/>
  <c r="K20" i="6" s="1"/>
  <c r="D41" i="6" s="1"/>
  <c r="G41" i="6" s="1"/>
  <c r="D73" i="6" s="1"/>
  <c r="D57" i="6"/>
  <c r="E57" i="6" s="1"/>
  <c r="F57" i="6" s="1"/>
  <c r="I57" i="6" s="1"/>
  <c r="J57" i="6" s="1"/>
  <c r="F73" i="6" s="1"/>
  <c r="I74" i="6" l="1"/>
  <c r="H74" i="6"/>
  <c r="J74" i="6" s="1"/>
  <c r="M17" i="11" s="1"/>
  <c r="N17" i="11" s="1"/>
  <c r="O17" i="11" s="1"/>
  <c r="P17" i="11" s="1"/>
  <c r="Q17" i="11" s="1"/>
  <c r="I75" i="6"/>
  <c r="H75" i="6"/>
  <c r="J75" i="6" s="1"/>
  <c r="R17" i="11" s="1"/>
  <c r="S17" i="11" s="1"/>
  <c r="T17" i="11" s="1"/>
  <c r="U17" i="11" s="1"/>
  <c r="V17" i="11" s="1"/>
  <c r="W17" i="11" s="1"/>
  <c r="X17" i="11" s="1"/>
  <c r="Y17" i="11" s="1"/>
  <c r="Z17" i="11" s="1"/>
  <c r="AA17" i="11" s="1"/>
  <c r="H162" i="17"/>
  <c r="H166" i="17" s="1"/>
  <c r="R52" i="19" s="1"/>
  <c r="I127" i="17"/>
  <c r="I162" i="17" s="1"/>
  <c r="I166" i="17" s="1"/>
  <c r="I120" i="16"/>
  <c r="I73" i="6"/>
  <c r="H73" i="6"/>
  <c r="E22" i="11"/>
  <c r="F22" i="11" s="1"/>
  <c r="G22" i="11" s="1"/>
  <c r="H22" i="11" s="1"/>
  <c r="I22" i="11" s="1"/>
  <c r="J22" i="11" s="1"/>
  <c r="K22" i="11" s="1"/>
  <c r="L22" i="11" s="1"/>
  <c r="D22" i="11"/>
  <c r="E22" i="9"/>
  <c r="D22" i="9"/>
  <c r="H99" i="16"/>
  <c r="I99" i="16" s="1"/>
  <c r="I96" i="16"/>
  <c r="D43" i="15"/>
  <c r="F43" i="15" s="1"/>
  <c r="L26" i="3"/>
  <c r="D57" i="10"/>
  <c r="D42" i="16"/>
  <c r="F42" i="16" s="1"/>
  <c r="H42" i="16" s="1"/>
  <c r="I42" i="16" s="1"/>
  <c r="H96" i="15"/>
  <c r="N26" i="3"/>
  <c r="O26" i="3"/>
  <c r="F121" i="16"/>
  <c r="H121" i="16" s="1"/>
  <c r="I121" i="16" s="1"/>
  <c r="S10" i="3"/>
  <c r="T10" i="3" s="1"/>
  <c r="U10" i="3" s="1"/>
  <c r="P26" i="3"/>
  <c r="P49" i="3" s="1"/>
  <c r="H100" i="16" l="1"/>
  <c r="H160" i="16" s="1"/>
  <c r="J73" i="6"/>
  <c r="H127" i="16"/>
  <c r="H162" i="16" s="1"/>
  <c r="I127" i="16"/>
  <c r="I162" i="16" s="1"/>
  <c r="E17" i="11"/>
  <c r="D17" i="11"/>
  <c r="F57" i="10"/>
  <c r="M57" i="10" s="1"/>
  <c r="C28" i="11" s="1"/>
  <c r="I100" i="16"/>
  <c r="I160" i="16" s="1"/>
  <c r="O49" i="3"/>
  <c r="G43" i="15"/>
  <c r="F44" i="15"/>
  <c r="L49" i="3"/>
  <c r="H99" i="15"/>
  <c r="H100" i="15" s="1"/>
  <c r="G161" i="15" s="1"/>
  <c r="D78" i="10"/>
  <c r="E78" i="10" s="1"/>
  <c r="D79" i="10"/>
  <c r="E79" i="10" s="1"/>
  <c r="M31" i="11" s="1"/>
  <c r="N31" i="11" s="1"/>
  <c r="O31" i="11" s="1"/>
  <c r="P31" i="11" s="1"/>
  <c r="Q31" i="11" s="1"/>
  <c r="D80" i="10"/>
  <c r="E80" i="10" s="1"/>
  <c r="R31" i="11" s="1"/>
  <c r="S31" i="11" s="1"/>
  <c r="T31" i="11" s="1"/>
  <c r="U31" i="11" s="1"/>
  <c r="V31" i="11" s="1"/>
  <c r="W31" i="11" s="1"/>
  <c r="X31" i="11" s="1"/>
  <c r="Y31" i="11" s="1"/>
  <c r="Z31" i="11" s="1"/>
  <c r="AA31" i="11" s="1"/>
  <c r="Q26" i="3"/>
  <c r="D43" i="16"/>
  <c r="F43" i="16" s="1"/>
  <c r="H43" i="16" s="1"/>
  <c r="S26" i="3"/>
  <c r="S49" i="3" s="1"/>
  <c r="V10" i="3"/>
  <c r="C22" i="11"/>
  <c r="AB22" i="11" s="1"/>
  <c r="F17" i="11" l="1"/>
  <c r="L31" i="11"/>
  <c r="K31" i="11"/>
  <c r="J31" i="11"/>
  <c r="I31" i="11"/>
  <c r="H31" i="11"/>
  <c r="G31" i="11"/>
  <c r="F31" i="11"/>
  <c r="E31" i="11"/>
  <c r="D31" i="11"/>
  <c r="E28" i="11"/>
  <c r="F28" i="11" s="1"/>
  <c r="G28" i="11" s="1"/>
  <c r="H28" i="11" s="1"/>
  <c r="I28" i="11" s="1"/>
  <c r="J28" i="11" s="1"/>
  <c r="K28" i="11" s="1"/>
  <c r="L28" i="11" s="1"/>
  <c r="D28" i="11"/>
  <c r="I43" i="16"/>
  <c r="H44" i="16"/>
  <c r="I44" i="16" s="1"/>
  <c r="G44" i="15"/>
  <c r="F45" i="15"/>
  <c r="H188" i="17"/>
  <c r="H187" i="17"/>
  <c r="H191" i="17"/>
  <c r="H194" i="17"/>
  <c r="H192" i="17"/>
  <c r="H196" i="17"/>
  <c r="H193" i="17"/>
  <c r="H190" i="17"/>
  <c r="H195" i="17"/>
  <c r="H189" i="17"/>
  <c r="C17" i="11"/>
  <c r="C31" i="11"/>
  <c r="W10" i="3"/>
  <c r="Y10" i="3"/>
  <c r="V26" i="3"/>
  <c r="V49" i="3" s="1"/>
  <c r="R26" i="3"/>
  <c r="R49" i="3" s="1"/>
  <c r="T26" i="3"/>
  <c r="U26" i="3"/>
  <c r="H45" i="16" l="1"/>
  <c r="I45" i="16" s="1"/>
  <c r="AB28" i="11"/>
  <c r="AB31" i="11"/>
  <c r="C15" i="11"/>
  <c r="C14" i="18" s="1"/>
  <c r="G17" i="11"/>
  <c r="U49" i="3"/>
  <c r="G45" i="15"/>
  <c r="G46" i="15" s="1"/>
  <c r="G159" i="15" s="1"/>
  <c r="F46" i="15"/>
  <c r="I46" i="16"/>
  <c r="I166" i="16" s="1"/>
  <c r="AB10" i="3"/>
  <c r="Y26" i="3"/>
  <c r="Y49" i="3" s="1"/>
  <c r="Z10" i="3"/>
  <c r="W26" i="3"/>
  <c r="X10" i="3"/>
  <c r="E185" i="15" l="1"/>
  <c r="F184" i="16" s="1"/>
  <c r="H17" i="11"/>
  <c r="C15" i="18"/>
  <c r="E23" i="9"/>
  <c r="E24" i="9" s="1"/>
  <c r="E25" i="9" s="1"/>
  <c r="E20" i="11" s="1"/>
  <c r="E15" i="11" s="1"/>
  <c r="E14" i="18" s="1"/>
  <c r="E15" i="18" s="1"/>
  <c r="D23" i="9"/>
  <c r="D24" i="9" s="1"/>
  <c r="D25" i="9" s="1"/>
  <c r="D20" i="11" s="1"/>
  <c r="D15" i="11" s="1"/>
  <c r="F159" i="15"/>
  <c r="F167" i="15" s="1"/>
  <c r="D13" i="19"/>
  <c r="H46" i="16"/>
  <c r="E190" i="15"/>
  <c r="F189" i="16" s="1"/>
  <c r="H183" i="15"/>
  <c r="F181" i="17"/>
  <c r="E194" i="15"/>
  <c r="F193" i="16" s="1"/>
  <c r="E192" i="15"/>
  <c r="H192" i="15" s="1"/>
  <c r="H178" i="15"/>
  <c r="H176" i="15"/>
  <c r="E188" i="15"/>
  <c r="F187" i="17" s="1"/>
  <c r="E193" i="15"/>
  <c r="H193" i="15" s="1"/>
  <c r="E186" i="15"/>
  <c r="H186" i="15" s="1"/>
  <c r="F180" i="16"/>
  <c r="F178" i="17"/>
  <c r="E191" i="15"/>
  <c r="E187" i="15"/>
  <c r="E189" i="15"/>
  <c r="F179" i="17"/>
  <c r="F176" i="16"/>
  <c r="I176" i="16" s="1"/>
  <c r="F174" i="16"/>
  <c r="I174" i="16" s="1"/>
  <c r="G181" i="16"/>
  <c r="G189" i="16"/>
  <c r="G189" i="17" s="1"/>
  <c r="G177" i="16"/>
  <c r="G177" i="17" s="1"/>
  <c r="G184" i="16"/>
  <c r="G180" i="16"/>
  <c r="G191" i="16"/>
  <c r="G191" i="17" s="1"/>
  <c r="G190" i="16"/>
  <c r="G190" i="17" s="1"/>
  <c r="G194" i="16"/>
  <c r="G182" i="16"/>
  <c r="G182" i="17" s="1"/>
  <c r="G193" i="16"/>
  <c r="G193" i="17" s="1"/>
  <c r="G183" i="16"/>
  <c r="G183" i="17" s="1"/>
  <c r="G186" i="16"/>
  <c r="G187" i="16"/>
  <c r="G187" i="17" s="1"/>
  <c r="G178" i="16"/>
  <c r="G188" i="16"/>
  <c r="G188" i="17" s="1"/>
  <c r="G185" i="16"/>
  <c r="G185" i="17" s="1"/>
  <c r="G196" i="16"/>
  <c r="I196" i="16" s="1"/>
  <c r="G179" i="16"/>
  <c r="G195" i="16"/>
  <c r="G195" i="17" s="1"/>
  <c r="G192" i="16"/>
  <c r="G192" i="17" s="1"/>
  <c r="F193" i="17"/>
  <c r="F184" i="17"/>
  <c r="H185" i="15"/>
  <c r="AB26" i="3"/>
  <c r="AC10" i="3"/>
  <c r="AE10" i="3"/>
  <c r="X26" i="3"/>
  <c r="AA10" i="3"/>
  <c r="AA26" i="3" s="1"/>
  <c r="Z26" i="3"/>
  <c r="I193" i="17" l="1"/>
  <c r="I195" i="17"/>
  <c r="AA14" i="19" s="1"/>
  <c r="I187" i="17"/>
  <c r="D41" i="19"/>
  <c r="D43" i="19" s="1"/>
  <c r="D46" i="19" s="1"/>
  <c r="D53" i="19" s="1"/>
  <c r="D15" i="19"/>
  <c r="E52" i="19"/>
  <c r="D52" i="19"/>
  <c r="D14" i="18"/>
  <c r="I17" i="11"/>
  <c r="F20" i="11"/>
  <c r="H158" i="16"/>
  <c r="H166" i="16" s="1"/>
  <c r="M52" i="19" s="1"/>
  <c r="F23" i="9"/>
  <c r="AA49" i="3"/>
  <c r="X49" i="3"/>
  <c r="H174" i="15"/>
  <c r="E198" i="15"/>
  <c r="G179" i="17"/>
  <c r="I179" i="17" s="1"/>
  <c r="K14" i="19" s="1"/>
  <c r="G178" i="17"/>
  <c r="I178" i="17" s="1"/>
  <c r="J14" i="19" s="1"/>
  <c r="G186" i="17"/>
  <c r="G180" i="17"/>
  <c r="I180" i="16"/>
  <c r="G184" i="17"/>
  <c r="I184" i="17" s="1"/>
  <c r="P14" i="19" s="1"/>
  <c r="I184" i="16"/>
  <c r="G181" i="17"/>
  <c r="I181" i="17" s="1"/>
  <c r="M14" i="19" s="1"/>
  <c r="F192" i="17"/>
  <c r="I192" i="17" s="1"/>
  <c r="X14" i="19" s="1"/>
  <c r="F181" i="16"/>
  <c r="I181" i="16" s="1"/>
  <c r="H190" i="15"/>
  <c r="F189" i="17"/>
  <c r="H194" i="15"/>
  <c r="F191" i="17"/>
  <c r="F191" i="16"/>
  <c r="I191" i="16" s="1"/>
  <c r="H182" i="15"/>
  <c r="F180" i="17"/>
  <c r="I189" i="16"/>
  <c r="F177" i="17"/>
  <c r="H181" i="15"/>
  <c r="F182" i="17"/>
  <c r="F182" i="16"/>
  <c r="I182" i="16" s="1"/>
  <c r="F187" i="16"/>
  <c r="I187" i="16" s="1"/>
  <c r="F185" i="16"/>
  <c r="I185" i="16" s="1"/>
  <c r="F192" i="16"/>
  <c r="I192" i="16" s="1"/>
  <c r="F185" i="17"/>
  <c r="F173" i="17"/>
  <c r="F173" i="16"/>
  <c r="I173" i="16" s="1"/>
  <c r="F177" i="16"/>
  <c r="I177" i="16" s="1"/>
  <c r="F175" i="17"/>
  <c r="F174" i="17"/>
  <c r="G196" i="17"/>
  <c r="H175" i="15"/>
  <c r="F175" i="16"/>
  <c r="I175" i="16" s="1"/>
  <c r="S14" i="19"/>
  <c r="H188" i="15"/>
  <c r="H179" i="15"/>
  <c r="H177" i="15"/>
  <c r="F176" i="17"/>
  <c r="F178" i="16"/>
  <c r="I178" i="16" s="1"/>
  <c r="H180" i="15"/>
  <c r="F188" i="17"/>
  <c r="H189" i="15"/>
  <c r="F188" i="16"/>
  <c r="I188" i="16" s="1"/>
  <c r="F186" i="16"/>
  <c r="I186" i="16" s="1"/>
  <c r="H187" i="15"/>
  <c r="F186" i="17"/>
  <c r="F190" i="17"/>
  <c r="F190" i="16"/>
  <c r="I190" i="16" s="1"/>
  <c r="H191" i="15"/>
  <c r="F183" i="16"/>
  <c r="I183" i="16" s="1"/>
  <c r="H184" i="15"/>
  <c r="F183" i="17"/>
  <c r="F179" i="16"/>
  <c r="I179" i="16" s="1"/>
  <c r="Y14" i="19"/>
  <c r="I193" i="16"/>
  <c r="I195" i="16"/>
  <c r="G194" i="17"/>
  <c r="I194" i="16"/>
  <c r="AE26" i="3"/>
  <c r="AF10" i="3"/>
  <c r="AD10" i="3"/>
  <c r="AC26" i="3"/>
  <c r="D55" i="19" l="1"/>
  <c r="I194" i="17"/>
  <c r="Z14" i="19" s="1"/>
  <c r="X54" i="19"/>
  <c r="X42" i="19"/>
  <c r="Y54" i="19"/>
  <c r="Y42" i="19"/>
  <c r="P54" i="19"/>
  <c r="P42" i="19"/>
  <c r="I183" i="17"/>
  <c r="O14" i="19" s="1"/>
  <c r="I190" i="17"/>
  <c r="V14" i="19" s="1"/>
  <c r="I186" i="17"/>
  <c r="R14" i="19" s="1"/>
  <c r="I188" i="17"/>
  <c r="T14" i="19" s="1"/>
  <c r="I176" i="17"/>
  <c r="H14" i="19" s="1"/>
  <c r="S54" i="19"/>
  <c r="S42" i="19"/>
  <c r="I196" i="17"/>
  <c r="AB14" i="19" s="1"/>
  <c r="I174" i="17"/>
  <c r="F14" i="19" s="1"/>
  <c r="I175" i="17"/>
  <c r="G14" i="19" s="1"/>
  <c r="I173" i="17"/>
  <c r="E14" i="19" s="1"/>
  <c r="I185" i="17"/>
  <c r="Q14" i="19" s="1"/>
  <c r="I182" i="17"/>
  <c r="N14" i="19" s="1"/>
  <c r="I177" i="17"/>
  <c r="I14" i="19" s="1"/>
  <c r="I54" i="19" s="1"/>
  <c r="I191" i="17"/>
  <c r="W14" i="19" s="1"/>
  <c r="I189" i="17"/>
  <c r="U14" i="19" s="1"/>
  <c r="I180" i="17"/>
  <c r="L14" i="19" s="1"/>
  <c r="L42" i="19" s="1"/>
  <c r="G20" i="11"/>
  <c r="F15" i="11"/>
  <c r="J17" i="11"/>
  <c r="D15" i="18"/>
  <c r="AA54" i="19"/>
  <c r="AA42" i="19"/>
  <c r="K54" i="19"/>
  <c r="K42" i="19"/>
  <c r="J54" i="19"/>
  <c r="J42" i="19"/>
  <c r="M54" i="19"/>
  <c r="M42" i="19"/>
  <c r="AC52" i="19"/>
  <c r="AD52" i="19" s="1"/>
  <c r="G23" i="9"/>
  <c r="G24" i="9" s="1"/>
  <c r="G25" i="9" s="1"/>
  <c r="R20" i="11" s="1"/>
  <c r="F24" i="9"/>
  <c r="F25" i="9" s="1"/>
  <c r="M20" i="11" s="1"/>
  <c r="F168" i="15"/>
  <c r="D20" i="19"/>
  <c r="D26" i="19" s="1"/>
  <c r="AD26" i="3"/>
  <c r="AF26" i="3"/>
  <c r="AG10" i="3"/>
  <c r="AG26" i="3" s="1"/>
  <c r="AC14" i="19" l="1"/>
  <c r="I42" i="19"/>
  <c r="L54" i="19"/>
  <c r="D24" i="19"/>
  <c r="D23" i="19"/>
  <c r="D22" i="19"/>
  <c r="N20" i="11"/>
  <c r="M15" i="11"/>
  <c r="S20" i="11"/>
  <c r="R15" i="11"/>
  <c r="K17" i="11"/>
  <c r="F14" i="18"/>
  <c r="H20" i="11"/>
  <c r="H15" i="11" s="1"/>
  <c r="G15" i="11"/>
  <c r="U54" i="19"/>
  <c r="U42" i="19"/>
  <c r="W54" i="19"/>
  <c r="W42" i="19"/>
  <c r="N54" i="19"/>
  <c r="N42" i="19"/>
  <c r="Q54" i="19"/>
  <c r="Q42" i="19"/>
  <c r="E54" i="19"/>
  <c r="E42" i="19"/>
  <c r="G54" i="19"/>
  <c r="G42" i="19"/>
  <c r="F54" i="19"/>
  <c r="F42" i="19"/>
  <c r="AB54" i="19"/>
  <c r="AB42" i="19"/>
  <c r="H54" i="19"/>
  <c r="H42" i="19"/>
  <c r="T54" i="19"/>
  <c r="T42" i="19"/>
  <c r="R54" i="19"/>
  <c r="R42" i="19"/>
  <c r="V54" i="19"/>
  <c r="V42" i="19"/>
  <c r="O54" i="19"/>
  <c r="O42" i="19"/>
  <c r="Z54" i="19"/>
  <c r="Z42" i="19"/>
  <c r="CA49" i="3"/>
  <c r="E13" i="19"/>
  <c r="D21" i="19"/>
  <c r="AC54" i="19" l="1"/>
  <c r="G14" i="18"/>
  <c r="G15" i="18" s="1"/>
  <c r="F15" i="18"/>
  <c r="L17" i="11"/>
  <c r="T20" i="11"/>
  <c r="S15" i="11"/>
  <c r="R14" i="18" s="1"/>
  <c r="R15" i="18" s="1"/>
  <c r="O20" i="11"/>
  <c r="N15" i="11"/>
  <c r="M14" i="18" s="1"/>
  <c r="M15" i="18" s="1"/>
  <c r="D28" i="19"/>
  <c r="D27" i="19"/>
  <c r="E41" i="19"/>
  <c r="E15" i="19"/>
  <c r="F13" i="19"/>
  <c r="G13" i="19"/>
  <c r="D30" i="19" l="1"/>
  <c r="G41" i="19"/>
  <c r="G15" i="19"/>
  <c r="G20" i="19" s="1"/>
  <c r="G26" i="19" s="1"/>
  <c r="G36" i="19" s="1"/>
  <c r="F41" i="19"/>
  <c r="F15" i="19"/>
  <c r="F20" i="19" s="1"/>
  <c r="F26" i="19" s="1"/>
  <c r="F36" i="19" s="1"/>
  <c r="P20" i="11"/>
  <c r="O15" i="11"/>
  <c r="N14" i="18" s="1"/>
  <c r="N15" i="18" s="1"/>
  <c r="U20" i="11"/>
  <c r="T15" i="11"/>
  <c r="S14" i="18" s="1"/>
  <c r="S15" i="18" s="1"/>
  <c r="AB17" i="11"/>
  <c r="S13" i="19"/>
  <c r="N13" i="19"/>
  <c r="E20" i="19"/>
  <c r="E26" i="19" s="1"/>
  <c r="E36" i="19" s="1"/>
  <c r="I20" i="11"/>
  <c r="I15" i="11" s="1"/>
  <c r="G22" i="19" l="1"/>
  <c r="G23" i="19"/>
  <c r="G24" i="19"/>
  <c r="G28" i="19" s="1"/>
  <c r="G21" i="19"/>
  <c r="H14" i="18"/>
  <c r="N41" i="19"/>
  <c r="N15" i="19"/>
  <c r="N20" i="19" s="1"/>
  <c r="N26" i="19" s="1"/>
  <c r="N36" i="19" s="1"/>
  <c r="N39" i="19" s="1"/>
  <c r="S41" i="19"/>
  <c r="S15" i="19"/>
  <c r="S20" i="19" s="1"/>
  <c r="S26" i="19" s="1"/>
  <c r="S36" i="19" s="1"/>
  <c r="S39" i="19" s="1"/>
  <c r="V20" i="11"/>
  <c r="U15" i="11"/>
  <c r="T14" i="18" s="1"/>
  <c r="T15" i="18" s="1"/>
  <c r="Q20" i="11"/>
  <c r="Q15" i="11" s="1"/>
  <c r="P15" i="11"/>
  <c r="O14" i="18" s="1"/>
  <c r="O15" i="18" s="1"/>
  <c r="F38" i="19"/>
  <c r="F37" i="19"/>
  <c r="G38" i="19"/>
  <c r="G37" i="19"/>
  <c r="E38" i="19"/>
  <c r="E37" i="19"/>
  <c r="E24" i="19"/>
  <c r="E23" i="19"/>
  <c r="E22" i="19"/>
  <c r="F24" i="19"/>
  <c r="F23" i="19"/>
  <c r="F22" i="19"/>
  <c r="J20" i="11"/>
  <c r="E39" i="19"/>
  <c r="F21" i="19"/>
  <c r="E21" i="19"/>
  <c r="G39" i="19"/>
  <c r="G27" i="19" l="1"/>
  <c r="G30" i="19" s="1"/>
  <c r="N24" i="19"/>
  <c r="N27" i="19" s="1"/>
  <c r="S23" i="19"/>
  <c r="N21" i="19"/>
  <c r="S22" i="19"/>
  <c r="N22" i="19"/>
  <c r="S24" i="19"/>
  <c r="S28" i="19" s="1"/>
  <c r="S21" i="19"/>
  <c r="N23" i="19"/>
  <c r="H41" i="19"/>
  <c r="H15" i="19"/>
  <c r="H20" i="19" s="1"/>
  <c r="H26" i="19" s="1"/>
  <c r="H36" i="19" s="1"/>
  <c r="K20" i="11"/>
  <c r="J15" i="11"/>
  <c r="F28" i="19"/>
  <c r="F27" i="19"/>
  <c r="G40" i="19"/>
  <c r="G43" i="19" s="1"/>
  <c r="Q14" i="18"/>
  <c r="Q15" i="18" s="1"/>
  <c r="P14" i="18"/>
  <c r="P15" i="18" s="1"/>
  <c r="Q13" i="19" s="1"/>
  <c r="W20" i="11"/>
  <c r="V15" i="11"/>
  <c r="U14" i="18" s="1"/>
  <c r="U15" i="18" s="1"/>
  <c r="S38" i="19"/>
  <c r="S37" i="19"/>
  <c r="N38" i="19"/>
  <c r="N37" i="19"/>
  <c r="H15" i="18"/>
  <c r="E28" i="19"/>
  <c r="E27" i="19"/>
  <c r="E40" i="19"/>
  <c r="E43" i="19" s="1"/>
  <c r="P13" i="19"/>
  <c r="U13" i="19"/>
  <c r="T13" i="19"/>
  <c r="O13" i="19"/>
  <c r="F39" i="19"/>
  <c r="F40" i="19" s="1"/>
  <c r="F43" i="19" s="1"/>
  <c r="I13" i="19"/>
  <c r="R13" i="19"/>
  <c r="E30" i="19" l="1"/>
  <c r="F30" i="19"/>
  <c r="N40" i="19"/>
  <c r="N43" i="19" s="1"/>
  <c r="N44" i="19" s="1"/>
  <c r="N28" i="19"/>
  <c r="N30" i="19" s="1"/>
  <c r="S27" i="19"/>
  <c r="S30" i="19" s="1"/>
  <c r="S40" i="19"/>
  <c r="S43" i="19" s="1"/>
  <c r="S45" i="19" s="1"/>
  <c r="R41" i="19"/>
  <c r="R15" i="19"/>
  <c r="R20" i="19" s="1"/>
  <c r="R26" i="19" s="1"/>
  <c r="R36" i="19" s="1"/>
  <c r="Q41" i="19"/>
  <c r="Q15" i="19"/>
  <c r="Q20" i="19" s="1"/>
  <c r="Q26" i="19" s="1"/>
  <c r="Q36" i="19" s="1"/>
  <c r="I41" i="19"/>
  <c r="I15" i="19"/>
  <c r="I20" i="19" s="1"/>
  <c r="I26" i="19" s="1"/>
  <c r="I36" i="19" s="1"/>
  <c r="F45" i="19"/>
  <c r="F44" i="19"/>
  <c r="F46" i="19" s="1"/>
  <c r="F53" i="19" s="1"/>
  <c r="F55" i="19" s="1"/>
  <c r="T41" i="19"/>
  <c r="T15" i="19"/>
  <c r="T20" i="19" s="1"/>
  <c r="T26" i="19" s="1"/>
  <c r="T36" i="19" s="1"/>
  <c r="T39" i="19" s="1"/>
  <c r="U41" i="19"/>
  <c r="U15" i="19"/>
  <c r="U20" i="19" s="1"/>
  <c r="U26" i="19" s="1"/>
  <c r="U36" i="19" s="1"/>
  <c r="U39" i="19" s="1"/>
  <c r="X20" i="11"/>
  <c r="W15" i="11"/>
  <c r="V14" i="18" s="1"/>
  <c r="V15" i="18" s="1"/>
  <c r="G45" i="19"/>
  <c r="G44" i="19"/>
  <c r="G46" i="19" s="1"/>
  <c r="G53" i="19" s="1"/>
  <c r="G55" i="19" s="1"/>
  <c r="I14" i="18"/>
  <c r="L20" i="11"/>
  <c r="L15" i="11" s="1"/>
  <c r="K15" i="11"/>
  <c r="H38" i="19"/>
  <c r="H37" i="19"/>
  <c r="E45" i="19"/>
  <c r="E44" i="19"/>
  <c r="O41" i="19"/>
  <c r="O15" i="19"/>
  <c r="O20" i="19" s="1"/>
  <c r="O26" i="19" s="1"/>
  <c r="O36" i="19" s="1"/>
  <c r="P41" i="19"/>
  <c r="P15" i="19"/>
  <c r="P20" i="19" s="1"/>
  <c r="P26" i="19" s="1"/>
  <c r="P36" i="19" s="1"/>
  <c r="P39" i="19" s="1"/>
  <c r="H24" i="19"/>
  <c r="H23" i="19"/>
  <c r="H22" i="19"/>
  <c r="V13" i="19"/>
  <c r="H21" i="19"/>
  <c r="N45" i="19" l="1"/>
  <c r="N46" i="19" s="1"/>
  <c r="N53" i="19" s="1"/>
  <c r="N55" i="19" s="1"/>
  <c r="T24" i="19"/>
  <c r="O22" i="19"/>
  <c r="T21" i="19"/>
  <c r="P21" i="19"/>
  <c r="P22" i="19"/>
  <c r="P23" i="19"/>
  <c r="T23" i="19"/>
  <c r="P24" i="19"/>
  <c r="P28" i="19" s="1"/>
  <c r="S44" i="19"/>
  <c r="S46" i="19" s="1"/>
  <c r="S53" i="19" s="1"/>
  <c r="S55" i="19" s="1"/>
  <c r="O24" i="19"/>
  <c r="O28" i="19" s="1"/>
  <c r="I22" i="19"/>
  <c r="E46" i="19"/>
  <c r="E53" i="19" s="1"/>
  <c r="E55" i="19" s="1"/>
  <c r="O23" i="19"/>
  <c r="T22" i="19"/>
  <c r="I24" i="19"/>
  <c r="I28" i="19" s="1"/>
  <c r="U23" i="19"/>
  <c r="U21" i="19"/>
  <c r="U22" i="19"/>
  <c r="I21" i="19"/>
  <c r="U24" i="19"/>
  <c r="U28" i="19" s="1"/>
  <c r="I23" i="19"/>
  <c r="O21" i="19"/>
  <c r="V41" i="19"/>
  <c r="V15" i="19"/>
  <c r="V20" i="19" s="1"/>
  <c r="V26" i="19" s="1"/>
  <c r="V36" i="19" s="1"/>
  <c r="V39" i="19" s="1"/>
  <c r="T28" i="19"/>
  <c r="T27" i="19"/>
  <c r="H28" i="19"/>
  <c r="H27" i="19"/>
  <c r="J14" i="18"/>
  <c r="J15" i="18" s="1"/>
  <c r="K13" i="19" s="1"/>
  <c r="L14" i="18"/>
  <c r="L15" i="18" s="1"/>
  <c r="M13" i="19" s="1"/>
  <c r="K14" i="18"/>
  <c r="K15" i="18" s="1"/>
  <c r="L13" i="19" s="1"/>
  <c r="I15" i="18"/>
  <c r="Y20" i="11"/>
  <c r="X15" i="11"/>
  <c r="U38" i="19"/>
  <c r="U37" i="19"/>
  <c r="T38" i="19"/>
  <c r="T37" i="19"/>
  <c r="I38" i="19"/>
  <c r="I37" i="19"/>
  <c r="Q38" i="19"/>
  <c r="Q37" i="19"/>
  <c r="R38" i="19"/>
  <c r="R37" i="19"/>
  <c r="O38" i="19"/>
  <c r="O37" i="19"/>
  <c r="P38" i="19"/>
  <c r="P37" i="19"/>
  <c r="Q24" i="19"/>
  <c r="Q23" i="19"/>
  <c r="Q22" i="19"/>
  <c r="R24" i="19"/>
  <c r="R23" i="19"/>
  <c r="R22" i="19"/>
  <c r="W13" i="19"/>
  <c r="Q39" i="19"/>
  <c r="O39" i="19"/>
  <c r="J13" i="19"/>
  <c r="I39" i="19"/>
  <c r="Q21" i="19"/>
  <c r="H39" i="19"/>
  <c r="H40" i="19" s="1"/>
  <c r="H43" i="19" s="1"/>
  <c r="R21" i="19"/>
  <c r="G47" i="19"/>
  <c r="H30" i="19" l="1"/>
  <c r="U27" i="19"/>
  <c r="T40" i="19"/>
  <c r="T43" i="19" s="1"/>
  <c r="U40" i="19"/>
  <c r="U43" i="19" s="1"/>
  <c r="U45" i="19" s="1"/>
  <c r="P40" i="19"/>
  <c r="P43" i="19" s="1"/>
  <c r="P44" i="19" s="1"/>
  <c r="T30" i="19"/>
  <c r="U30" i="19"/>
  <c r="I27" i="19"/>
  <c r="I30" i="19" s="1"/>
  <c r="O27" i="19"/>
  <c r="O30" i="19" s="1"/>
  <c r="P27" i="19"/>
  <c r="P30" i="19" s="1"/>
  <c r="I40" i="19"/>
  <c r="I43" i="19" s="1"/>
  <c r="I45" i="19" s="1"/>
  <c r="V21" i="19"/>
  <c r="V22" i="19"/>
  <c r="V23" i="19"/>
  <c r="V24" i="19"/>
  <c r="V28" i="19" s="1"/>
  <c r="H45" i="19"/>
  <c r="H44" i="19"/>
  <c r="J41" i="19"/>
  <c r="J15" i="19"/>
  <c r="J20" i="19" s="1"/>
  <c r="J26" i="19" s="1"/>
  <c r="J36" i="19" s="1"/>
  <c r="J37" i="19" s="1"/>
  <c r="W41" i="19"/>
  <c r="W15" i="19"/>
  <c r="W20" i="19" s="1"/>
  <c r="W26" i="19" s="1"/>
  <c r="W36" i="19" s="1"/>
  <c r="R28" i="19"/>
  <c r="R27" i="19"/>
  <c r="R30" i="19" s="1"/>
  <c r="Q28" i="19"/>
  <c r="Q27" i="19"/>
  <c r="Q40" i="19"/>
  <c r="Q43" i="19" s="1"/>
  <c r="T45" i="19"/>
  <c r="T44" i="19"/>
  <c r="W14" i="18"/>
  <c r="Z20" i="11"/>
  <c r="Y15" i="11"/>
  <c r="V38" i="19"/>
  <c r="V37" i="19"/>
  <c r="K41" i="19"/>
  <c r="K15" i="19"/>
  <c r="K20" i="19" s="1"/>
  <c r="K26" i="19" s="1"/>
  <c r="K36" i="19" s="1"/>
  <c r="L41" i="19"/>
  <c r="L15" i="19"/>
  <c r="L20" i="19" s="1"/>
  <c r="L26" i="19" s="1"/>
  <c r="L36" i="19" s="1"/>
  <c r="M41" i="19"/>
  <c r="M15" i="19"/>
  <c r="M20" i="19" s="1"/>
  <c r="M26" i="19" s="1"/>
  <c r="M36" i="19" s="1"/>
  <c r="O40" i="19"/>
  <c r="O43" i="19" s="1"/>
  <c r="F47" i="19"/>
  <c r="N47" i="19"/>
  <c r="R39" i="19"/>
  <c r="R40" i="19" s="1"/>
  <c r="R43" i="19" s="1"/>
  <c r="S47" i="19"/>
  <c r="E47" i="19"/>
  <c r="P45" i="19" l="1"/>
  <c r="P46" i="19" s="1"/>
  <c r="P53" i="19" s="1"/>
  <c r="P55" i="19" s="1"/>
  <c r="V40" i="19"/>
  <c r="V43" i="19" s="1"/>
  <c r="V45" i="19" s="1"/>
  <c r="T46" i="19"/>
  <c r="T53" i="19" s="1"/>
  <c r="T55" i="19" s="1"/>
  <c r="U44" i="19"/>
  <c r="U46" i="19" s="1"/>
  <c r="I44" i="19"/>
  <c r="I46" i="19" s="1"/>
  <c r="I53" i="19" s="1"/>
  <c r="T47" i="19"/>
  <c r="V27" i="19"/>
  <c r="V30" i="19" s="1"/>
  <c r="W21" i="19"/>
  <c r="W23" i="19"/>
  <c r="W22" i="19"/>
  <c r="W24" i="19"/>
  <c r="W28" i="19" s="1"/>
  <c r="Q30" i="19"/>
  <c r="H46" i="19"/>
  <c r="H53" i="19" s="1"/>
  <c r="H55" i="19" s="1"/>
  <c r="R45" i="19"/>
  <c r="R44" i="19"/>
  <c r="V44" i="19"/>
  <c r="X14" i="18"/>
  <c r="X15" i="18" s="1"/>
  <c r="Y13" i="19" s="1"/>
  <c r="AA20" i="11"/>
  <c r="Z15" i="11"/>
  <c r="W15" i="18"/>
  <c r="X13" i="19" s="1"/>
  <c r="Q45" i="19"/>
  <c r="Q44" i="19"/>
  <c r="W38" i="19"/>
  <c r="W37" i="19"/>
  <c r="K38" i="19"/>
  <c r="K37" i="19"/>
  <c r="M38" i="19"/>
  <c r="M37" i="19"/>
  <c r="L38" i="19"/>
  <c r="L37" i="19"/>
  <c r="O45" i="19"/>
  <c r="O44" i="19"/>
  <c r="M24" i="19"/>
  <c r="M23" i="19"/>
  <c r="M22" i="19"/>
  <c r="L24" i="19"/>
  <c r="L23" i="19"/>
  <c r="L22" i="19"/>
  <c r="K24" i="19"/>
  <c r="K23" i="19"/>
  <c r="K22" i="19"/>
  <c r="J24" i="19"/>
  <c r="J23" i="19"/>
  <c r="J22" i="19"/>
  <c r="M39" i="19"/>
  <c r="L39" i="19"/>
  <c r="J21" i="19"/>
  <c r="K21" i="19"/>
  <c r="M21" i="19"/>
  <c r="L21" i="19"/>
  <c r="W39" i="19"/>
  <c r="L40" i="19" l="1"/>
  <c r="L43" i="19" s="1"/>
  <c r="Q46" i="19"/>
  <c r="Q53" i="19" s="1"/>
  <c r="Q55" i="19" s="1"/>
  <c r="O46" i="19"/>
  <c r="O53" i="19" s="1"/>
  <c r="O55" i="19" s="1"/>
  <c r="V46" i="19"/>
  <c r="V53" i="19" s="1"/>
  <c r="V55" i="19" s="1"/>
  <c r="U53" i="19"/>
  <c r="U55" i="19" s="1"/>
  <c r="U47" i="19"/>
  <c r="M40" i="19"/>
  <c r="M43" i="19" s="1"/>
  <c r="M44" i="19" s="1"/>
  <c r="W27" i="19"/>
  <c r="W30" i="19" s="1"/>
  <c r="R46" i="19"/>
  <c r="R53" i="19" s="1"/>
  <c r="R55" i="19" s="1"/>
  <c r="X41" i="19"/>
  <c r="X15" i="19"/>
  <c r="X20" i="19" s="1"/>
  <c r="X26" i="19" s="1"/>
  <c r="X36" i="19" s="1"/>
  <c r="Y41" i="19"/>
  <c r="Y15" i="19"/>
  <c r="Y20" i="19" s="1"/>
  <c r="Y26" i="19" s="1"/>
  <c r="Y36" i="19" s="1"/>
  <c r="Y39" i="19" s="1"/>
  <c r="W40" i="19"/>
  <c r="W43" i="19" s="1"/>
  <c r="Y14" i="18"/>
  <c r="AA15" i="11"/>
  <c r="AB20" i="11"/>
  <c r="L45" i="19"/>
  <c r="L44" i="19"/>
  <c r="L46" i="19" s="1"/>
  <c r="L53" i="19" s="1"/>
  <c r="L55" i="19" s="1"/>
  <c r="J28" i="19"/>
  <c r="J27" i="19"/>
  <c r="K28" i="19"/>
  <c r="K27" i="19"/>
  <c r="K30" i="19" s="1"/>
  <c r="L28" i="19"/>
  <c r="L27" i="19"/>
  <c r="M28" i="19"/>
  <c r="M27" i="19"/>
  <c r="I55" i="19"/>
  <c r="J39" i="19"/>
  <c r="J38" i="19"/>
  <c r="J40" i="19" s="1"/>
  <c r="J43" i="19" s="1"/>
  <c r="K39" i="19"/>
  <c r="K40" i="19" s="1"/>
  <c r="K43" i="19" s="1"/>
  <c r="H47" i="19"/>
  <c r="O47" i="19"/>
  <c r="Q47" i="19"/>
  <c r="I47" i="19"/>
  <c r="P47" i="19"/>
  <c r="L30" i="19" l="1"/>
  <c r="M45" i="19"/>
  <c r="M46" i="19" s="1"/>
  <c r="M53" i="19" s="1"/>
  <c r="M55" i="19" s="1"/>
  <c r="M30" i="19"/>
  <c r="Y23" i="19"/>
  <c r="Y22" i="19"/>
  <c r="Y24" i="19"/>
  <c r="Y27" i="19" s="1"/>
  <c r="J30" i="19"/>
  <c r="Y21" i="19"/>
  <c r="AA14" i="18"/>
  <c r="AA15" i="18" s="1"/>
  <c r="AB15" i="11"/>
  <c r="Z14" i="18"/>
  <c r="Z15" i="18" s="1"/>
  <c r="AA13" i="19" s="1"/>
  <c r="AA15" i="19" s="1"/>
  <c r="AA20" i="19" s="1"/>
  <c r="AA26" i="19" s="1"/>
  <c r="AA36" i="19" s="1"/>
  <c r="Y15" i="18"/>
  <c r="Z13" i="19" s="1"/>
  <c r="Z15" i="19" s="1"/>
  <c r="Z20" i="19" s="1"/>
  <c r="Z26" i="19" s="1"/>
  <c r="Z36" i="19" s="1"/>
  <c r="W45" i="19"/>
  <c r="W44" i="19"/>
  <c r="Y38" i="19"/>
  <c r="Y37" i="19"/>
  <c r="X38" i="19"/>
  <c r="X37" i="19"/>
  <c r="K45" i="19"/>
  <c r="K44" i="19"/>
  <c r="J45" i="19"/>
  <c r="J44" i="19"/>
  <c r="X24" i="19"/>
  <c r="X23" i="19"/>
  <c r="X22" i="19"/>
  <c r="X21" i="19"/>
  <c r="R47" i="19"/>
  <c r="V47" i="19"/>
  <c r="K46" i="19" l="1"/>
  <c r="K53" i="19" s="1"/>
  <c r="K55" i="19" s="1"/>
  <c r="J46" i="19"/>
  <c r="J47" i="19" s="1"/>
  <c r="Y40" i="19"/>
  <c r="Y43" i="19" s="1"/>
  <c r="Y28" i="19"/>
  <c r="AB14" i="18"/>
  <c r="AB15" i="18" s="1"/>
  <c r="Y30" i="19"/>
  <c r="Z41" i="19"/>
  <c r="AA41" i="19"/>
  <c r="W46" i="19"/>
  <c r="W53" i="19" s="1"/>
  <c r="W55" i="19" s="1"/>
  <c r="X28" i="19"/>
  <c r="X27" i="19"/>
  <c r="Y45" i="19"/>
  <c r="Y44" i="19"/>
  <c r="AA38" i="19"/>
  <c r="AA37" i="19"/>
  <c r="Z38" i="19"/>
  <c r="Z37" i="19"/>
  <c r="J53" i="19"/>
  <c r="AA24" i="19"/>
  <c r="AA23" i="19"/>
  <c r="AA22" i="19"/>
  <c r="AA39" i="19"/>
  <c r="X39" i="19"/>
  <c r="X40" i="19" s="1"/>
  <c r="X43" i="19" s="1"/>
  <c r="K47" i="19"/>
  <c r="AA21" i="19"/>
  <c r="M47" i="19"/>
  <c r="AB13" i="19"/>
  <c r="W47" i="19" l="1"/>
  <c r="X30" i="19"/>
  <c r="Y46" i="19"/>
  <c r="Y53" i="19" s="1"/>
  <c r="Y55" i="19" s="1"/>
  <c r="X45" i="19"/>
  <c r="X44" i="19"/>
  <c r="X46" i="19" s="1"/>
  <c r="X53" i="19" s="1"/>
  <c r="X55" i="19" s="1"/>
  <c r="AA28" i="19"/>
  <c r="AA40" i="19"/>
  <c r="AA43" i="19" s="1"/>
  <c r="AB41" i="19"/>
  <c r="AB15" i="19"/>
  <c r="AC13" i="19"/>
  <c r="J55" i="19"/>
  <c r="Z24" i="19"/>
  <c r="Z23" i="19"/>
  <c r="Z22" i="19"/>
  <c r="Z21" i="19"/>
  <c r="AA27" i="19"/>
  <c r="L47" i="19"/>
  <c r="AA30" i="19" l="1"/>
  <c r="Z28" i="19"/>
  <c r="AA45" i="19"/>
  <c r="AA44" i="19"/>
  <c r="AB20" i="19"/>
  <c r="AB26" i="19" s="1"/>
  <c r="AB36" i="19" s="1"/>
  <c r="AC15" i="19"/>
  <c r="X47" i="19"/>
  <c r="Z39" i="19"/>
  <c r="Z40" i="19" s="1"/>
  <c r="Z43" i="19" s="1"/>
  <c r="Z27" i="19"/>
  <c r="Y47" i="19"/>
  <c r="Z30" i="19" l="1"/>
  <c r="AA46" i="19"/>
  <c r="AA53" i="19" s="1"/>
  <c r="AA55" i="19" s="1"/>
  <c r="Z45" i="19"/>
  <c r="Z44" i="19"/>
  <c r="AB38" i="19"/>
  <c r="AB37" i="19"/>
  <c r="AC36" i="19"/>
  <c r="AB24" i="19"/>
  <c r="AB27" i="19" s="1"/>
  <c r="AB23" i="19"/>
  <c r="AB22" i="19"/>
  <c r="AB21" i="19"/>
  <c r="AA47" i="19"/>
  <c r="Z46" i="19" l="1"/>
  <c r="Z53" i="19" s="1"/>
  <c r="Z55" i="19" s="1"/>
  <c r="AC37" i="19"/>
  <c r="AC38" i="19" s="1"/>
  <c r="D10" i="20"/>
  <c r="AB28" i="19"/>
  <c r="AB30" i="19" s="1"/>
  <c r="AB39" i="19"/>
  <c r="AB40" i="19" s="1"/>
  <c r="AB43" i="19" s="1"/>
  <c r="D16" i="20" l="1"/>
  <c r="D14" i="20"/>
  <c r="D12" i="20"/>
  <c r="E24" i="20" s="1"/>
  <c r="J24" i="20" s="1"/>
  <c r="AB45" i="19"/>
  <c r="AB44" i="19"/>
  <c r="AC39" i="19"/>
  <c r="E29" i="20"/>
  <c r="G29" i="20" s="1"/>
  <c r="E26" i="20"/>
  <c r="Z47" i="19"/>
  <c r="J26" i="20" l="1"/>
  <c r="I52" i="16" s="1"/>
  <c r="AB46" i="19"/>
  <c r="AB53" i="19" s="1"/>
  <c r="AC46" i="19"/>
  <c r="D17" i="21"/>
  <c r="K17" i="21" s="1"/>
  <c r="D15" i="21"/>
  <c r="K15" i="21" s="1"/>
  <c r="AE20" i="19"/>
  <c r="AB55" i="19" l="1"/>
  <c r="AC55" i="19" s="1"/>
  <c r="AC53" i="19"/>
  <c r="AE21" i="19"/>
  <c r="D13" i="21"/>
  <c r="K13" i="21" s="1"/>
  <c r="AE19" i="19"/>
  <c r="I51" i="16"/>
  <c r="AB47" i="19"/>
  <c r="C60" i="19"/>
  <c r="I50" i="16" l="1"/>
  <c r="C59" i="19"/>
  <c r="I49"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Rafael Morgan Fragoso</author>
  </authors>
  <commentList>
    <comment ref="H16" authorId="0" shapeId="0" xr:uid="{00000000-0006-0000-0300-000001000000}">
      <text>
        <r>
          <rPr>
            <b/>
            <sz val="9"/>
            <color indexed="81"/>
            <rFont val="Segoe UI"/>
            <family val="2"/>
          </rPr>
          <t xml:space="preserve">valor agregado = valor total das mercadorias importadas (CIF) e exportadas (FOB) médias 10 anos
</t>
        </r>
        <r>
          <rPr>
            <sz val="9"/>
            <color indexed="81"/>
            <rFont val="Segoe UI"/>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Filipe Rezende Ruiz</author>
    <author/>
  </authors>
  <commentList>
    <comment ref="E38" authorId="0" shapeId="0" xr:uid="{00000000-0006-0000-1000-000001000000}">
      <text>
        <r>
          <rPr>
            <sz val="9"/>
            <color indexed="81"/>
            <rFont val="Segoe UI"/>
            <family val="2"/>
          </rPr>
          <t xml:space="preserve">
Adotamos um custo médio para o armazém equivalente a 2 vezes aquele previsto no CUB para a mesma estrutura, considerando acréscimos em relação ao custo básico previsto no CUB, como pé direito elevado de 8 metros, piso com capacidade elevada de carga (necessário à verticalização do armazenamento), estruturas de prateleiras de 05 níveis, iluminação, fundação, etc.
CUB / RJ</t>
        </r>
      </text>
    </comment>
    <comment ref="C42" authorId="1" shapeId="0" xr:uid="{00000000-0006-0000-1000-000002000000}">
      <text>
        <r>
          <rPr>
            <sz val="10"/>
            <color rgb="FF000000"/>
            <rFont val="Arial"/>
            <family val="2"/>
          </rPr>
          <t>Excluída a metragem e custo dos estacionamentos da permissionária, RFB e demais órgãos.</t>
        </r>
      </text>
    </comment>
    <comment ref="D43" authorId="0" shapeId="0" xr:uid="{00000000-0006-0000-1000-000003000000}">
      <text>
        <r>
          <rPr>
            <sz val="10"/>
            <color rgb="FF000000"/>
            <rFont val="Arial"/>
            <charset val="1"/>
          </rPr>
          <t xml:space="preserve">
Extraiu-se a raiz quadrada da área projetada e multiplicou-se por 4, para obter o perímetro aproximado</t>
        </r>
      </text>
    </comment>
    <comment ref="C133" authorId="1" shapeId="0" xr:uid="{00000000-0006-0000-1000-000004000000}">
      <text>
        <r>
          <rPr>
            <sz val="10"/>
            <color rgb="FF000000"/>
            <rFont val="Arial"/>
            <family val="2"/>
          </rPr>
          <t>Baseado em estudos anteriores.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
  </authors>
  <commentList>
    <comment ref="E33" authorId="0" shapeId="0" xr:uid="{00000000-0006-0000-1100-000001000000}">
      <text>
        <r>
          <rPr>
            <sz val="10"/>
            <color rgb="FF000000"/>
            <rFont val="Arial"/>
            <family val="2"/>
            <charset val="1"/>
          </rPr>
          <t xml:space="preserve">Percentual de acréscimo sobre o somatório anterior, referente aos pequenos itens, acessórios, custos de montagem, etc
</t>
        </r>
      </text>
    </comment>
    <comment ref="E51" authorId="0" shapeId="0" xr:uid="{00000000-0006-0000-1100-000002000000}">
      <text>
        <r>
          <rPr>
            <sz val="10"/>
            <color rgb="FF000000"/>
            <rFont val="Arial"/>
            <family val="2"/>
            <charset val="1"/>
          </rPr>
          <t xml:space="preserve">Percentual de acréscimo sobre o somatório anterior, referente aos pequenos itens, acessórios, incertezas de projeto e, principalmente, fundação. </t>
        </r>
      </text>
    </comment>
    <comment ref="E75" authorId="0" shapeId="0" xr:uid="{00000000-0006-0000-1100-000003000000}">
      <text>
        <r>
          <rPr>
            <sz val="10"/>
            <color rgb="FF000000"/>
            <rFont val="Arial"/>
            <family val="2"/>
            <charset val="1"/>
          </rPr>
          <t xml:space="preserve">Percentual de acréscimo sobre o somatório anterior, referente aos pequenos itens, acessórios e custos de montagem.
</t>
        </r>
      </text>
    </comment>
    <comment ref="E102" authorId="0" shapeId="0" xr:uid="{00000000-0006-0000-1100-000004000000}">
      <text>
        <r>
          <rPr>
            <sz val="10"/>
            <color rgb="FF000000"/>
            <rFont val="Arial"/>
            <family val="2"/>
            <charset val="1"/>
          </rPr>
          <t xml:space="preserve">Percentual de acréscimo sobre o somatório anterior, referente aos pequenos itens, acessórios e custos de montagem.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
  </authors>
  <commentList>
    <comment ref="I33" authorId="0" shapeId="0" xr:uid="{00000000-0006-0000-1200-000001000000}">
      <text>
        <r>
          <rPr>
            <sz val="10"/>
            <color rgb="FF000000"/>
            <rFont val="Arial"/>
            <family val="2"/>
            <charset val="1"/>
          </rPr>
          <t xml:space="preserve">Perecentual de acréscimo sobre o somatório anterior, referente aos pequenos itens, acessórios e custos de montagem.
</t>
        </r>
      </text>
    </comment>
    <comment ref="I51" authorId="0" shapeId="0" xr:uid="{00000000-0006-0000-1200-000002000000}">
      <text>
        <r>
          <rPr>
            <sz val="10"/>
            <color rgb="FF000000"/>
            <rFont val="Arial"/>
            <family val="2"/>
            <charset val="1"/>
          </rPr>
          <t xml:space="preserve">Perecentual de acréscimo sobre o somatório anterior, referente aos pequenos itens, acessórios e fundação.
</t>
        </r>
      </text>
    </comment>
    <comment ref="I75" authorId="0" shapeId="0" xr:uid="{00000000-0006-0000-1200-000003000000}">
      <text>
        <r>
          <rPr>
            <sz val="10"/>
            <color rgb="FF000000"/>
            <rFont val="Arial"/>
            <family val="2"/>
            <charset val="1"/>
          </rPr>
          <t xml:space="preserve">Perecentual de acréscimo sobre o somatório anterior, referente aos pequenos itens, acessórios e custos de montagem.
</t>
        </r>
      </text>
    </comment>
    <comment ref="I102" authorId="0" shapeId="0" xr:uid="{00000000-0006-0000-1200-000004000000}">
      <text>
        <r>
          <rPr>
            <sz val="10"/>
            <color rgb="FF000000"/>
            <rFont val="Arial"/>
            <family val="2"/>
            <charset val="1"/>
          </rPr>
          <t xml:space="preserve">Perecentual de acréscimo sobre o somatório anterior, referente aos pequenos itens, acessórios e custos de montagem.
</t>
        </r>
      </text>
    </comment>
    <comment ref="I115" authorId="0" shapeId="0" xr:uid="{00000000-0006-0000-1200-000005000000}">
      <text>
        <r>
          <rPr>
            <sz val="10"/>
            <color rgb="FF000000"/>
            <rFont val="Arial"/>
            <family val="2"/>
            <charset val="1"/>
          </rPr>
          <t xml:space="preserve">Perecentual de acréscimo sobre o somatório anterior, referente aos pequenos itens, acessórios e custos de montagem.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Filipe Rezende Ruiz</author>
  </authors>
  <commentList>
    <comment ref="AC36" authorId="0" shapeId="0" xr:uid="{00000000-0006-0000-1400-000001000000}">
      <text>
        <r>
          <rPr>
            <sz val="9"/>
            <color indexed="81"/>
            <rFont val="Segoe UI"/>
            <family val="2"/>
          </rPr>
          <t xml:space="preserve">
RECEITA BRUTA ESPERADA PARA TODO O PERÍODO DE PERMISSÃO.</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Rafael Morgan Fragoso</author>
    <author/>
    <author>Filipe Rezende Ruiz</author>
  </authors>
  <commentList>
    <comment ref="I22" authorId="0" shapeId="0" xr:uid="{00000000-0006-0000-1500-000001000000}">
      <text>
        <r>
          <rPr>
            <sz val="9"/>
            <color indexed="81"/>
            <rFont val="Segoe UI"/>
            <family val="2"/>
          </rPr>
          <t xml:space="preserve">
obtido pela divisão do tempo médio de liberação das cargas (7,45) pelo número de dias do período de cobrança (10), sendo igual a 7,45 /10 = 0,745 - de acordo com TRS divulgado pela RFB
</t>
        </r>
      </text>
    </comment>
    <comment ref="G26" authorId="1" shapeId="0" xr:uid="{00000000-0006-0000-1500-000002000000}">
      <text>
        <r>
          <rPr>
            <sz val="9"/>
            <color rgb="FF000000"/>
            <rFont val="Segoe UI"/>
            <family val="2"/>
            <charset val="1"/>
          </rPr>
          <t>equivalência entre volume e peso das cargas calculado dividindo-se a média de peso por container, conforme registros da ANTAQ (ver planilha 'dados ANTAQ'), pelo volume de um container (33m³)</t>
        </r>
      </text>
    </comment>
    <comment ref="G29" authorId="2" shapeId="0" xr:uid="{00000000-0006-0000-1500-000003000000}">
      <text>
        <r>
          <rPr>
            <b/>
            <sz val="9"/>
            <color indexed="81"/>
            <rFont val="Segoe UI"/>
            <family val="2"/>
          </rPr>
          <t>GIRO 2,326 PERIODOS DE 6 HORAS</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Rafael Morgan Fragoso</author>
    <author>Filipe Rezende Ruiz</author>
  </authors>
  <commentList>
    <comment ref="G11" authorId="0" shapeId="0" xr:uid="{00000000-0006-0000-1600-000001000000}">
      <text>
        <r>
          <rPr>
            <b/>
            <sz val="9"/>
            <color indexed="81"/>
            <rFont val="Segoe UI"/>
            <family val="2"/>
          </rPr>
          <t>Usada TA de importação como parâmetro por ser cobrada por período de 10 dias.</t>
        </r>
        <r>
          <rPr>
            <sz val="9"/>
            <color indexed="81"/>
            <rFont val="Segoe UI"/>
            <family val="2"/>
          </rPr>
          <t xml:space="preserve">
</t>
        </r>
      </text>
    </comment>
    <comment ref="F13" authorId="1" shapeId="0" xr:uid="{00000000-0006-0000-1600-000002000000}">
      <text>
        <r>
          <rPr>
            <sz val="9"/>
            <color indexed="81"/>
            <rFont val="Segoe UI"/>
            <family val="2"/>
          </rPr>
          <t>Armazenagem importação aereo/marítimo. Considerada a média entre a cobrança de 1 período + periodo extra (0,30 + 0,60 + 1,2 + 1,5)/4</t>
        </r>
      </text>
    </comment>
    <comment ref="H13" authorId="1" shapeId="0" xr:uid="{00000000-0006-0000-1600-000003000000}">
      <text>
        <r>
          <rPr>
            <sz val="9"/>
            <color indexed="81"/>
            <rFont val="Segoe UI"/>
            <family val="2"/>
          </rPr>
          <t xml:space="preserve">
Usada a armazenagem importação</t>
        </r>
      </text>
    </comment>
    <comment ref="G15" authorId="1" shapeId="0" xr:uid="{00000000-0006-0000-1600-000004000000}">
      <text>
        <r>
          <rPr>
            <sz val="9"/>
            <color indexed="81"/>
            <rFont val="Segoe UI"/>
            <family val="2"/>
          </rPr>
          <t xml:space="preserve">
Utilizado a tarifa para descarga paletizada</t>
        </r>
      </text>
    </comment>
    <comment ref="H15" authorId="1" shapeId="0" xr:uid="{00000000-0006-0000-1600-000005000000}">
      <text>
        <r>
          <rPr>
            <sz val="9"/>
            <color indexed="81"/>
            <rFont val="Segoe UI"/>
            <family val="2"/>
          </rPr>
          <t xml:space="preserve">
Usada a descarga paletizada por ton/3,06 m3</t>
        </r>
      </text>
    </comment>
    <comment ref="E17" authorId="1" shapeId="0" xr:uid="{00000000-0006-0000-1600-000006000000}">
      <text>
        <r>
          <rPr>
            <sz val="9"/>
            <color indexed="81"/>
            <rFont val="Segoe UI"/>
            <family val="2"/>
          </rPr>
          <t xml:space="preserve">Somadas: Estadia de veiculos 25 ton + pesagem </t>
        </r>
      </text>
    </comment>
    <comment ref="F17" authorId="1" shapeId="0" xr:uid="{00000000-0006-0000-1600-000007000000}">
      <text>
        <r>
          <rPr>
            <sz val="9"/>
            <color indexed="81"/>
            <rFont val="Segoe UI"/>
            <family val="2"/>
          </rPr>
          <t xml:space="preserve">
Utilizado o valor da minimo cnt + pesagem / 10 dias</t>
        </r>
      </text>
    </comment>
    <comment ref="H17" authorId="1" shapeId="0" xr:uid="{00000000-0006-0000-1600-000008000000}">
      <text>
        <r>
          <rPr>
            <sz val="9"/>
            <color indexed="81"/>
            <rFont val="Segoe UI"/>
            <family val="2"/>
          </rPr>
          <t xml:space="preserve">utilizada a liberação sobre rodas - MIC-DTA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Rafael Morgan Fragoso</author>
  </authors>
  <commentList>
    <comment ref="I8" authorId="0" shapeId="0" xr:uid="{00000000-0006-0000-0400-000001000000}">
      <text>
        <r>
          <rPr>
            <sz val="9"/>
            <color indexed="81"/>
            <rFont val="Segoe UI"/>
            <family val="2"/>
          </rPr>
          <t xml:space="preserve">
proporcional aos 6 meses de operação</t>
        </r>
      </text>
    </comment>
    <comment ref="E59" authorId="0" shapeId="0" xr:uid="{00000000-0006-0000-0400-000002000000}">
      <text>
        <r>
          <rPr>
            <sz val="9"/>
            <color indexed="81"/>
            <rFont val="Segoe UI"/>
            <family val="2"/>
          </rPr>
          <t xml:space="preserve">
Uniforme + EPI (uniforme: 2 jogos/1 troca por ano)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Filipe Rezende Ruiz</author>
    <author>Rafael Morgan Fragoso</author>
  </authors>
  <commentList>
    <comment ref="D12" authorId="0" shapeId="0" xr:uid="{00000000-0006-0000-0500-000001000000}">
      <text>
        <r>
          <rPr>
            <sz val="9"/>
            <color indexed="81"/>
            <rFont val="Segoe UI"/>
            <family val="2"/>
          </rPr>
          <t xml:space="preserve">
40% dos caminhões desunitizados ( descarregados )
</t>
        </r>
      </text>
    </comment>
    <comment ref="E12" authorId="0" shapeId="0" xr:uid="{00000000-0006-0000-0500-000002000000}">
      <text>
        <r>
          <rPr>
            <sz val="9"/>
            <color indexed="81"/>
            <rFont val="Segoe UI"/>
            <family val="2"/>
          </rPr>
          <t xml:space="preserve">
35% dos caminhões armazenados no pátio de conteineres</t>
        </r>
      </text>
    </comment>
    <comment ref="D31" authorId="0" shapeId="0" xr:uid="{00000000-0006-0000-0500-000003000000}">
      <text>
        <r>
          <rPr>
            <sz val="9"/>
            <color indexed="81"/>
            <rFont val="Segoe UI"/>
            <family val="2"/>
          </rPr>
          <t xml:space="preserve">
1. Reach Stacker: capacidade média de movimentação direta de containeres em pilha de 30 containeres/hora. Considerando uma otimização no posicionamento das cargas na formação das pilhas (realizada por programas especializados que minimizam o esforço de coleta de um dado container, pela previsão de dados relacionados à estimativa de sua movimentação), estimamos a necessidade média de 04 remoções para o resgate ou posicionamento de dado container na formação das pilhas. Com isso, cada equipamento reach stacker atenderia um recebimento com armazenamento ou entrega média de 7,5 containeres/hora, com um total de 1.875 containeres/mês. Se considerarmos um giro médio de uma entrada e uma saída para cada container no mês, estaremos com uma demanda média de 1 equipamento para todo o período.</t>
        </r>
      </text>
    </comment>
    <comment ref="E31" authorId="0" shapeId="0" xr:uid="{00000000-0006-0000-0500-000004000000}">
      <text>
        <r>
          <rPr>
            <sz val="9"/>
            <color indexed="81"/>
            <rFont val="Segoe UI"/>
            <family val="2"/>
          </rPr>
          <t xml:space="preserve">
Empilhadeira - 3 toneladas: destinada principalmente à desunitização de contêineres e remoção da carga no armazém e carregamento em veículo na entrega, além de movimentação de paletes internamente no depósito. A capacidade dependerá da complexidade da operação (desunitização) e do percurso (distância, curvas, rampas, passagens estreitas, etc.). Adotaremos uma capacidade média de 1 caminhões/hora e 250 caminhões/mês por equipamento.</t>
        </r>
      </text>
    </comment>
    <comment ref="F31" authorId="1" shapeId="0" xr:uid="{00000000-0006-0000-0500-000005000000}">
      <text>
        <r>
          <rPr>
            <sz val="9"/>
            <color indexed="81"/>
            <rFont val="Segoe UI"/>
            <family val="2"/>
          </rPr>
          <t xml:space="preserve">
Empilhadeira de 6 toneladas, Duplex, contrabalançada para operação em pátio</t>
        </r>
      </text>
    </comment>
    <comment ref="G31" authorId="1" shapeId="0" xr:uid="{00000000-0006-0000-0500-000006000000}">
      <text>
        <r>
          <rPr>
            <sz val="9"/>
            <color indexed="81"/>
            <rFont val="Segoe UI"/>
            <family val="2"/>
          </rPr>
          <t xml:space="preserve">
Empilhadeira de 7t Triplex para pátio e desunitizações de contêineres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Rafael Morgan Fragoso</author>
    <author>Filipe Rezende Ruiz</author>
  </authors>
  <commentList>
    <comment ref="C12" authorId="0" shapeId="0" xr:uid="{00000000-0006-0000-0600-000001000000}">
      <text>
        <r>
          <rPr>
            <b/>
            <sz val="9"/>
            <color indexed="81"/>
            <rFont val="Segoe UI"/>
            <family val="2"/>
          </rPr>
          <t>Áreas baseadas na Portaria do Ministério da Economia nº 19.385 de 14 de agosto de 2020, exceto as áreas para despachantes e motoristas externos que foram baseadas nas informações da concessionária atual.</t>
        </r>
      </text>
    </comment>
    <comment ref="D12" authorId="0" shapeId="0" xr:uid="{00000000-0006-0000-0600-000002000000}">
      <text>
        <r>
          <rPr>
            <b/>
            <sz val="9"/>
            <color indexed="81"/>
            <rFont val="Segoe UI"/>
            <family val="2"/>
          </rPr>
          <t>Adotado nos ultimos BID´s</t>
        </r>
        <r>
          <rPr>
            <sz val="9"/>
            <color indexed="81"/>
            <rFont val="Segoe UI"/>
            <family val="2"/>
          </rPr>
          <t xml:space="preserve">
</t>
        </r>
      </text>
    </comment>
    <comment ref="E12" authorId="0" shapeId="0" xr:uid="{00000000-0006-0000-0600-000003000000}">
      <text>
        <r>
          <rPr>
            <b/>
            <sz val="9"/>
            <color indexed="81"/>
            <rFont val="Segoe UI"/>
            <family val="2"/>
          </rPr>
          <t>Consumo Mendal de 30,00 por funcionário</t>
        </r>
      </text>
    </comment>
    <comment ref="F12" authorId="0" shapeId="0" xr:uid="{00000000-0006-0000-0600-000004000000}">
      <text>
        <r>
          <rPr>
            <b/>
            <sz val="9"/>
            <color indexed="81"/>
            <rFont val="Segoe UI"/>
            <family val="2"/>
          </rPr>
          <t xml:space="preserve">Telefonia Movel / Ramal / Fixo / Internet - RFB - TERMINAL - REDUNDÂNCIA
</t>
        </r>
        <r>
          <rPr>
            <sz val="9"/>
            <color indexed="81"/>
            <rFont val="Segoe UI"/>
            <family val="2"/>
          </rPr>
          <t xml:space="preserve">
</t>
        </r>
      </text>
    </comment>
    <comment ref="G12" authorId="0" shapeId="0" xr:uid="{00000000-0006-0000-0600-000005000000}">
      <text>
        <r>
          <rPr>
            <sz val="9"/>
            <color indexed="81"/>
            <rFont val="Segoe UI"/>
            <family val="2"/>
          </rPr>
          <t xml:space="preserve">
Demanda de 53,6m³ - conforme outorga INEA - adotado consumo 0,15m³ / por pessoa - mês - tarifa de 22,30
</t>
        </r>
      </text>
    </comment>
    <comment ref="J12" authorId="0" shapeId="0" xr:uid="{00000000-0006-0000-0600-000006000000}">
      <text>
        <r>
          <rPr>
            <sz val="9"/>
            <color indexed="81"/>
            <rFont val="Segoe UI"/>
            <family val="2"/>
          </rPr>
          <t xml:space="preserve">
Reajuste anual
 15%</t>
        </r>
      </text>
    </comment>
    <comment ref="K12" authorId="0" shapeId="0" xr:uid="{00000000-0006-0000-0600-000007000000}">
      <text>
        <r>
          <rPr>
            <b/>
            <sz val="9"/>
            <color indexed="81"/>
            <rFont val="Segoe UI"/>
            <family val="2"/>
          </rPr>
          <t xml:space="preserve">
Reajustado pelo IPCA
5,19%
</t>
        </r>
      </text>
    </comment>
    <comment ref="M12" authorId="0" shapeId="0" xr:uid="{00000000-0006-0000-0600-000008000000}">
      <text>
        <r>
          <rPr>
            <b/>
            <sz val="9"/>
            <color indexed="81"/>
            <rFont val="Segoe UI"/>
            <family val="2"/>
          </rPr>
          <t>Reajuste de 15%</t>
        </r>
      </text>
    </comment>
    <comment ref="N12" authorId="0" shapeId="0" xr:uid="{00000000-0006-0000-0600-000009000000}">
      <text>
        <r>
          <rPr>
            <b/>
            <sz val="9"/>
            <color indexed="81"/>
            <rFont val="Segoe UI"/>
            <family val="2"/>
          </rPr>
          <t>Rafael Morgan Fragoso:</t>
        </r>
        <r>
          <rPr>
            <sz val="9"/>
            <color indexed="81"/>
            <rFont val="Segoe UI"/>
            <family val="2"/>
          </rPr>
          <t xml:space="preserve">
Reajuste Informado pela concessionária 4,21%
</t>
        </r>
      </text>
    </comment>
    <comment ref="B56" authorId="1" shapeId="0" xr:uid="{00000000-0006-0000-0600-00000A000000}">
      <text>
        <r>
          <rPr>
            <sz val="9"/>
            <color indexed="81"/>
            <rFont val="Segoe UI"/>
            <family val="2"/>
          </rPr>
          <t xml:space="preserve">
25 m2 por vaga. 50 vagas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Filipe Rezende Ruiz</author>
  </authors>
  <commentList>
    <comment ref="D56" authorId="0" shapeId="0" xr:uid="{00000000-0006-0000-0700-000001000000}">
      <text>
        <r>
          <rPr>
            <sz val="9"/>
            <color indexed="81"/>
            <rFont val="Segoe UI"/>
            <family val="2"/>
          </rPr>
          <t xml:space="preserve">
EXCLUÍDA A ÁREA DE ESTACIONAMENTO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Filipe Rezende Ruiz</author>
    <author>Rafael Morgan Fragoso</author>
  </authors>
  <commentList>
    <comment ref="C10" authorId="0" shapeId="0" xr:uid="{00000000-0006-0000-0800-000001000000}">
      <text>
        <r>
          <rPr>
            <sz val="9"/>
            <color indexed="81"/>
            <rFont val="Segoe UI"/>
            <family val="2"/>
          </rPr>
          <t>*Valores atualizado em 12/2023</t>
        </r>
      </text>
    </comment>
    <comment ref="E20" authorId="1" shapeId="0" xr:uid="{00000000-0006-0000-0800-000002000000}">
      <text>
        <r>
          <rPr>
            <sz val="9"/>
            <color indexed="81"/>
            <rFont val="Segoe UI"/>
            <family val="2"/>
          </rPr>
          <t xml:space="preserve">Base de Cálculo - CPMV - Custo Total de Manutenção como % de reposição do ativo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Rafael Morgan Fragoso</author>
    <author>Filipe Rezende Ruiz</author>
  </authors>
  <commentList>
    <comment ref="C11" authorId="0" shapeId="0" xr:uid="{00000000-0006-0000-0900-000001000000}">
      <text>
        <r>
          <rPr>
            <b/>
            <sz val="9"/>
            <color indexed="81"/>
            <rFont val="Segoe UI"/>
            <family val="2"/>
          </rPr>
          <t>Horas proporcionais ao início de operação, sendo 18 meses após a assinatura do contrato.</t>
        </r>
        <r>
          <rPr>
            <sz val="9"/>
            <color indexed="81"/>
            <rFont val="Segoe UI"/>
            <family val="2"/>
          </rPr>
          <t xml:space="preserve">
</t>
        </r>
      </text>
    </comment>
    <comment ref="D11" authorId="1" shapeId="0" xr:uid="{00000000-0006-0000-0900-000002000000}">
      <text>
        <r>
          <rPr>
            <sz val="9"/>
            <color indexed="81"/>
            <rFont val="Segoe UI"/>
            <family val="2"/>
          </rPr>
          <t>consumo proporcional
mensal</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Filipe Rezende Ruiz</author>
  </authors>
  <commentList>
    <comment ref="D12" authorId="0" shapeId="0" xr:uid="{00000000-0006-0000-0A00-000001000000}">
      <text>
        <r>
          <rPr>
            <sz val="9"/>
            <color indexed="81"/>
            <rFont val="Segoe UI"/>
            <family val="2"/>
          </rPr>
          <t xml:space="preserve">
- destinada a uso de jardins, playground ou qualquer outro uso que não implique edificação, construção de pisos de argamassa, artefatos de concreto, pisos cerâmicos ou de qualquer outro material impermeável ou que possa impedir a infiltração das águas superficiais.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Filipe Rezende Ruiz</author>
    <author/>
  </authors>
  <commentList>
    <comment ref="D10" authorId="0" shapeId="0" xr:uid="{00000000-0006-0000-0C00-000001000000}">
      <text>
        <r>
          <rPr>
            <b/>
            <sz val="9"/>
            <color indexed="81"/>
            <rFont val="Segoe UI"/>
            <family val="2"/>
          </rPr>
          <t>algumas rubricas estão com valores proporcionais ao início de operação</t>
        </r>
      </text>
    </comment>
    <comment ref="B14" authorId="1" shapeId="0" xr:uid="{00000000-0006-0000-0C00-000002000000}">
      <text>
        <r>
          <rPr>
            <sz val="10"/>
            <color rgb="FF000000"/>
            <rFont val="Arial"/>
            <family val="2"/>
          </rPr>
          <t>0,05% do valor das mercadorias movimentadas</t>
        </r>
      </text>
    </comment>
  </commentList>
</comments>
</file>

<file path=xl/sharedStrings.xml><?xml version="1.0" encoding="utf-8"?>
<sst xmlns="http://schemas.openxmlformats.org/spreadsheetml/2006/main" count="1392" uniqueCount="673">
  <si>
    <t xml:space="preserve">1 - Do Conceito do EVTE </t>
  </si>
  <si>
    <t>EVTE -  tomaram como parâmetro as previsões de crescimento da economia brasileira apontadas no PNE 2050, elaborado em dezembro de 2018 pela Empresa de Pesquisa Energética (EPE) com base em informações da Price Waterhouse &amp; Coopers (PWC) e do World Energy Council.</t>
  </si>
  <si>
    <t>Este estudo admite uma expansão anual do PIB à taxa de 1,6% a.a. ao longo do período de permissão, desta forma, foi considerado um incremento na receita líquida nesta mesma taxa.</t>
  </si>
  <si>
    <t>2 - Da Taxa de Crescimento</t>
  </si>
  <si>
    <t>O dimensionamento da estrutura operacional mínima a ser exigida em edital do processo licitatório tomou por base a estimativa de demanda para o 10° ano, por considerar um prazo aproximado de dois anos para construção da estrutura, alfandegamento da instalação, uma dotação de capacidade instalada inicial que atenda os primeiros anos de funcionamento e eventuais picos de demanda, com qualidade nos serviços prestados, obtendo-se os montantes destacados no quadro abaixo. A estimativa de demanda dos demais anos encontra-se destacada no anexo II. A especificação de estrutura, no anexo IV.</t>
  </si>
  <si>
    <t>3 - Do Prazo</t>
  </si>
  <si>
    <t>O prazo da Permissão será de 25 (vinte e cinco) anos, com a possibilidade de prorrogação por mais 10 (dez) anos, conforme o disposto no § 2°, do art. 1° da Lei Federal n° 9.074, de 07 de julho de 1995, com a redação dada pelo art. 26 da Lei Federal n° 10.684, de 30 de maio de 2003, publicada no Diário Oficial da União, edição extra de 31 de maio de 2003.</t>
  </si>
  <si>
    <t>4 - Das Instalações</t>
  </si>
  <si>
    <r>
      <rPr>
        <b/>
        <sz val="9"/>
        <color rgb="FF000000"/>
        <rFont val="Arial"/>
      </rPr>
      <t>Área fechada e coberta destinada ao armazenamento de mercadorias (inclusas áreas para guarda de amostra, guarda de mercadorias apreendidas e armazenamento/conferência física de mercadorias não refrigeradas), com o mínimo de 5.360 m</t>
    </r>
    <r>
      <rPr>
        <b/>
        <vertAlign val="superscript"/>
        <sz val="9"/>
        <color rgb="FF000000"/>
        <rFont val="Arial"/>
      </rPr>
      <t>2</t>
    </r>
    <r>
      <rPr>
        <b/>
        <sz val="9"/>
        <color rgb="FF000000"/>
        <rFont val="Arial"/>
      </rPr>
      <t xml:space="preserve"> (metragem exigida para os primeiros dez anos de funcionamento, armazém em paredes rígidas, piso pavimentado, esquadrias e cobertura que proporcionem segurança, e nivelado para suportar cargas pesadas (necessário à verticalização do armazenamento com estruturas de prateleiras de até 5 níveis e cobertura) que proporcionem condições de segurança, pé direito livre de no mínimo 6m,</t>
    </r>
  </si>
  <si>
    <r>
      <rPr>
        <b/>
        <sz val="9"/>
        <color rgb="FF000000"/>
        <rFont val="Arial"/>
      </rPr>
      <t>Área descoberta, pavimentada para tráfego pesado (inclusive com área antes da entrada no recinto para estacionamento de caminhões conhecida como “pulmão”, de no mínimo 3.273 m</t>
    </r>
    <r>
      <rPr>
        <b/>
        <vertAlign val="superscript"/>
        <sz val="9"/>
        <color rgb="FF000000"/>
        <rFont val="Arial"/>
      </rPr>
      <t>2</t>
    </r>
    <r>
      <rPr>
        <b/>
        <sz val="9"/>
        <color rgb="FF000000"/>
        <rFont val="Arial"/>
      </rPr>
      <t xml:space="preserve">), para movimentação e armazenagem de cargas e contêineres, estadia e manobra de caminhões, reboques, semirreboques, posteamento, estacionamento de veículos pequenos, estacionamento de veículos com carga perigosa; </t>
    </r>
  </si>
  <si>
    <t>Prédio em alvenaria para administração da permissionária, com vestiários e sanitários para uso dos empregados e contratados da permissionária que efetuem serviços no Porto Seco;</t>
  </si>
  <si>
    <t>Instalações prediais exclusivas para a RFB, conforme descrito no item 9.6;</t>
  </si>
  <si>
    <t>Área para caminhoneiros, com copa, banheiro e sala de estar (a permissionária deverá cumprir a Portaria MTP Nº 672 DE 08/11/2021, que estabelece as condições de segurança, sanitárias e de conforto nos locais de espera, de repouso e de descanso dos motoristas profissionais de transporte rodoviário de passageiros e de cargas; bem como área para despachantes com estrutura (com microcomputadores...) para suas atividades pontuais no Porto Seco</t>
  </si>
  <si>
    <t>5 - Equipamanstos / depreciação</t>
  </si>
  <si>
    <t>Foi utilizado para este estudo o critério de depreciação linear com os índices (taxas) de depreciação anual de acordo com os percentuais aceitos pela Secretaria da Receita Federal do Brasil (IN RFB n° 1700, de 2017</t>
  </si>
  <si>
    <t>6 - Fluxo do Caixa</t>
  </si>
  <si>
    <t xml:space="preserve">trabalho foi adotado o estudo de viabilidade pelo fluxo de caixa operacional. Para determinar o fluxo de caixa líquido adiciona-se ao resultado líquido de cada exercício o valor do encargo da depreciação. O resultado positivo ou negativo corresponderá ao fluxo de caixa do empreendimento </t>
  </si>
  <si>
    <t>7 - Taxa de Atratividade - Empreendimento</t>
  </si>
  <si>
    <t>Será considerada como taxa de atratividade (custo do capital) do projeto o valor de 11,73 % ao ano, obtido pela metodologia do Custo Médio Ponderado de Capitais - WACC (Weighted Average Cost of Capital), apurado conforme avaliação feita pela Secretaria do Tesouro Nacional e demonstrada por meio da Nota Conjunta SEI nº 2/2022/STN/SPE/ME-DF.</t>
  </si>
  <si>
    <t>8 - Da Viabilidade do Projeto</t>
  </si>
  <si>
    <t>A viabilidade do empreendimento será aferida pelos métodos do Valor Presente Líquido (VPL) e da Taxa Interna de Retorno (TIR), considerando-se a taxa de atratividade de 11,73 % ao ano e o fluxo líquido de caixa . Os critérios e os resultados obtidos estão apresentados no anexo VII. O valor de VPL e TIR obtidos são:</t>
  </si>
  <si>
    <t>VPL: R$ 2.069.358,87                              TIR 11,93% a.a</t>
  </si>
  <si>
    <t>Sendo o VPL positivo, conclui-se que o empreendimento é viável economicamente. Isto significa dizer que o valor aplicado apresenta a possibilidade real de ganhos, valorização dos recursos investidos e retorno financeiro certo. O percentual da taxa de retorno calculada também corrobora neste sentido, porque é superior ao custo de capital (taxa de atratividade). Entretanto, resta ainda calcular as tarifas a serem cobradas dos usuários e verificar se elas se enquadram nos valores de mercado.</t>
  </si>
  <si>
    <t>9 - Das Tarifas</t>
  </si>
  <si>
    <t>DESCRIÇÃO</t>
  </si>
  <si>
    <r>
      <t>Tarifa de Armazenagem (TA</t>
    </r>
    <r>
      <rPr>
        <b/>
        <vertAlign val="subscript"/>
        <sz val="10"/>
        <color rgb="FF00000A"/>
        <rFont val="Arial"/>
        <family val="2"/>
      </rPr>
      <t>1</t>
    </r>
    <r>
      <rPr>
        <b/>
        <sz val="10"/>
        <color rgb="FF00000A"/>
        <rFont val="Arial"/>
        <family val="2"/>
      </rPr>
      <t xml:space="preserve">): % </t>
    </r>
    <r>
      <rPr>
        <sz val="10"/>
        <color rgb="FF00000A"/>
        <rFont val="Arial"/>
        <family val="2"/>
      </rPr>
      <t>do valor CIF (importação) /FOB (exportação) por período de 10 dias ou fração</t>
    </r>
  </si>
  <si>
    <r>
      <t>Tarifa de Armazenagem (TA</t>
    </r>
    <r>
      <rPr>
        <b/>
        <vertAlign val="subscript"/>
        <sz val="10"/>
        <color rgb="FF00000A"/>
        <rFont val="Arial"/>
        <family val="2"/>
      </rPr>
      <t>2</t>
    </r>
    <r>
      <rPr>
        <b/>
        <sz val="10"/>
        <color rgb="FF00000A"/>
        <rFont val="Arial"/>
        <family val="2"/>
      </rPr>
      <t xml:space="preserve">): </t>
    </r>
    <r>
      <rPr>
        <sz val="10"/>
        <color rgb="FF00000A"/>
        <rFont val="Arial"/>
        <family val="2"/>
      </rPr>
      <t>R$ por Veículo Transportador por 6 horas ou fração</t>
    </r>
  </si>
  <si>
    <r>
      <t>Tarifa de Movimentação (TM):</t>
    </r>
    <r>
      <rPr>
        <sz val="10"/>
        <color rgb="FF00000A"/>
        <rFont val="Arial"/>
        <family val="2"/>
      </rPr>
      <t xml:space="preserve"> valor calculado por m</t>
    </r>
    <r>
      <rPr>
        <vertAlign val="superscript"/>
        <sz val="10"/>
        <color rgb="FF00000A"/>
        <rFont val="Arial"/>
        <family val="2"/>
      </rPr>
      <t>3</t>
    </r>
    <r>
      <rPr>
        <sz val="10"/>
        <color rgb="FF00000A"/>
        <rFont val="Arial"/>
        <family val="2"/>
      </rPr>
      <t xml:space="preserve"> ou fração</t>
    </r>
  </si>
  <si>
    <t>10 - Estimtiva da Demanda</t>
  </si>
  <si>
    <t>Para fins de cálculo da projeção de crescimento da demanda ao longo do período previsto para exploração do recinto, foram adotados os valores registrados no período de 2023 como referência inicial para peso e valor agregado das cargas movimentadas (valores até dezembro de 2023 utilizados como média mensal e extrapolados para todo o ano corrente). O Fluxo de Carga Líquido (dg) foi utilizado para determinar o Valor CIF/FOB (R$).</t>
  </si>
  <si>
    <t>Nesse contexto, adotar-se-á, então, uma taxa de crescimento médio anual conservadora no fluxo de comércio exterior da jurisdição de estudo de 1,6% a.a. para os próximos 25 anos, ou um crescimento projetado de aproximadamente 50% para  o prazo total de contrato.</t>
  </si>
  <si>
    <t>No ano 1 a demanda será zerada. No ano 2 foi calculada a demanda proporcional para 6 meses, pois o porto seco terá 18 meses para entrar em funcionamento após a assinatura do contrato de permissão. O valor FOB/CIF foi determinado pelo valor agregado da carga absorvida (R$/kg), calculado a partir dos registros do total de importações e exportações registrados no período de 2023 (ajustados para 12 meses).</t>
  </si>
  <si>
    <t>O Fluxo de Carga Líquido (Kg) foi utilizado para determinar o Valor CIF/FOB (R$).</t>
  </si>
  <si>
    <t>11 - Do Orçamento</t>
  </si>
  <si>
    <t xml:space="preserve">Adotou-se uma margem de acréscimo percentual de 15% sobre o somatório dos bens/equipamentos para os principais itens do orçamento, referente aos equipamentos de valor reduzido, aos acessórios, às despesas de entrega e montagem, às imprecisões, dentre outros (erro de projeto, quebra, extravio, etc.). No item obras, acresceu-se margem de 15%, referente àqueles custos não inclusos no CUB, como rebaixamento de lençol freático, obras e serviços complementares, urbanização, iluminação, subestação, dentre outros, além da margem de 6% referente aos custos de projetos (conceitual, básico e executivo) e licenças. </t>
  </si>
  <si>
    <t>12 - Custos e Despesas ( dispêndio)</t>
  </si>
  <si>
    <t>Não se fez distinção precisa entre custo operacional e despesas administrativas; considerou-se apenas o seu somatório, sem tratamento específico de uma ou outra na apuração do Demonstrativo de Resultado do Exercício - DRE, constante do anexo seguinte.</t>
  </si>
  <si>
    <t>Elencaram-se, assim, como custo operacional, a despesa de pessoal da área comercial e operacional e seus encargos sociais e trabalhistas; consumo de combustível dos equipamentos de movimentação de cargas e seus custos de manutenção e suprimento; e seguro sobre as cargas.</t>
  </si>
  <si>
    <t>Como despesa administrativa, consideraram-se a folha de pessoal e seus encargos sociais e trabalhistas da área administrativa/financeira (gerência geral, financeiro, recursos humanos, auxiliar de informática e serviços auxiliares); consumo de energia elétrica; IPTU; telefonia; seguro predial; água (potável e serviço); vigilância terceirizada; material de expediente; limpeza e conservação; consultoria contábil, jurídica e auditoria; comunicação, publicidade e despesas festivas; treinamentos; aluguel do terreno; manutenção de software e redes informatizadas; manutenção e combustível de veículos leves; e manutenção predial.</t>
  </si>
  <si>
    <t>Os custos e despesas referentes ao primeiro ano e primeiro semestre do segundo são nulos, em sua maioria, dada a inexistência de atividade operacional, uma vez ser este o período de construção da instalação, exceto para as despesas de consultoria, que existem desde seu início. Os custos do segundo ano, em sua maioria, são metade daquele previsto para o período do 3° ao 10° ano.</t>
  </si>
  <si>
    <t>A manutenção é preventiva e corretiva e o suprimento envolve todo o consumo e reposição contínua de partes e peças por prazo inferior à vida útil do equipamento. São exemplos de suprimentos os pneus, lubrificantes, fluídos hidráulicos, filtros, correias, rolamentos, etc. Existem diversas variáveis envolvidas neste custo, tais como a devida realização da manutenção preventiva, o uso adequado do equipamento em relação a seus limites de esforços, a perícia e zelo do operador, a vida útil do equipamento, etc.</t>
  </si>
  <si>
    <t>Os custos levantados através do CPMV  variam de acordo com cada situação, o que nos motivou adotar um custo global de manutenção e suprimento uniforme para toda a vida útil do equipamento, baseado em seu valor de aquisição, o que se mostra mais adequado para o estudo.</t>
  </si>
  <si>
    <t>Com base em comparativo, para o seguro de Operador Portuário, calculou-se  um prêmio médio anual de xxx sobre o valor das mercadorias movimentadas e armazenadas no terminal</t>
  </si>
  <si>
    <t xml:space="preserve">Estimou-se a carga instalada (potência elétrica em Quilowatts) adotando valores médios de referência, por unidade de metro quadrado, para a iluminação e refrigeração, que representam a maior parcela de consumo de energia elétrica. Uma vez conhecido o número de estações de trabalho, calculou-se seu consumo médio. </t>
  </si>
  <si>
    <r>
      <t>A média estimada de carga instalada para iluminação num ambiente de trabalho</t>
    </r>
    <r>
      <rPr>
        <b/>
        <sz val="12"/>
        <color rgb="FF000000"/>
        <rFont val="Times New Roman"/>
        <family val="1"/>
      </rPr>
      <t xml:space="preserve"> </t>
    </r>
    <r>
      <rPr>
        <b/>
        <sz val="9"/>
        <color rgb="FF000000"/>
        <rFont val="Arial"/>
        <family val="2"/>
      </rPr>
      <t>é 15 w/m². Para a área de pátio, considerou-se uma potência instalada média de 0,5 w/m², necessária apenas para iluminação superficial de ambientes sob vigilância, normalmente montada sob postes de mais de 30 metros de altura e lâmpadas de vapor metálico. Para o armazém, uma potência de 5w/m², considerando o aproveitamento da iluminação natural, comum em tais estruturas.</t>
    </r>
  </si>
  <si>
    <t>A alíquota do IPTU para o município deResende  é de 0,67% sobre o valor venal da instalação (benfeitorias e terreno), tendo sido esse percentual utilizado no presente estudo[ de acordo com certidão Venal da PMR].</t>
  </si>
  <si>
    <t xml:space="preserve">O terreno de instalação do porto seco terá a área mínima prevista para sua expansão, com um acréscimo de 20% deste total para atendimento de requisitos legais, como área verde, afastamento, calçada, dentre outros. A área da instalação e o valor das edificações foram detalhados no anexo IV. Para estimativa do valor do terreno, utilizamos o valor médio do m² na região, R$ 150,97, conforme pesquisa junto a empresas de compra e venda de imóveis. </t>
  </si>
  <si>
    <r>
      <t>Baseando-se em informações extraídas de site especializado, estimou-se um custo de aluguel mensal equivalente em R$ 2,39/m</t>
    </r>
    <r>
      <rPr>
        <b/>
        <vertAlign val="superscript"/>
        <sz val="9"/>
        <color rgb="FF000000"/>
        <rFont val="Arial"/>
        <family val="2"/>
      </rPr>
      <t>2</t>
    </r>
    <r>
      <rPr>
        <b/>
        <sz val="9"/>
        <color rgb="FF000000"/>
        <rFont val="Arial"/>
        <family val="2"/>
      </rPr>
      <t xml:space="preserve"> </t>
    </r>
  </si>
  <si>
    <t>13 - Fluxo de Caixa / DRE / Receita / Despesas</t>
  </si>
  <si>
    <t>DISPÊNDIO ANUAL: montante do custo e despesa estimado no anexo VI, acrescido do encargo da depreciação calculado no anexo V.</t>
  </si>
  <si>
    <t>PIS/COFINS NÃO CUMULATIVO: Com o advento das Leis Federais n° 10.637, de 30 de dezembro de 2002, e n° 10.833, de 29 de dezembro de 2003, as alíquotas do PIS e da COFINS, passaram a ser, respectivamente, de 1,65% e de 7,6% sobre o faturamento, sendo admitido, conforme art. 3° das leis mencionadas, que a pessoa jurídica desconte alguns créditos, podendo chegar a aproximadamente 3%, resultando, então, uma alíquota líquida próxima de 6,0%.</t>
  </si>
  <si>
    <t xml:space="preserve">No estudo realizado, a análise  de viabilidade pela visão do projeto, considerando como taxa de atratividade foi  calculada pelo método do Custo do Capital de Terceiros (WACC) o valor de 11,73% a.a., </t>
  </si>
  <si>
    <t>o cálculo do fluxo líquido de caixa do empreendimento, adiciona-se, ao lucro líquido de cada exercício, o valor do encargo da depreciação. O resultado positivo ou negativo corresponderá ao fluxo de caixa do empreendimento</t>
  </si>
  <si>
    <r>
      <t>Para a avaliação da viabilidade econômica do empreendimento a partir do fluxo líquido de caixa constante da tabela anterior foram calculados o Valor Presente Líquido (VPL) e a Taxa Interna de Retorno (TIR) a uma Taxa de Atratividade de 11,73%, calculada pelo método do Custo Médio Ponderado de Capital (</t>
    </r>
    <r>
      <rPr>
        <b/>
        <i/>
        <sz val="9"/>
        <color rgb="FF000000"/>
        <rFont val="Arial"/>
        <family val="2"/>
      </rPr>
      <t>Weighted Average Cost of Capital – WACC</t>
    </r>
    <r>
      <rPr>
        <b/>
        <sz val="9"/>
        <color rgb="FF000000"/>
        <rFont val="Arial"/>
        <family val="2"/>
      </rPr>
      <t xml:space="preserve">) pela equipe da Secretaria do Tesouro Nacional-STN, conforme Nota Conjunta SEI nº 2/2022/STN/SPE/ME-DF. </t>
    </r>
  </si>
  <si>
    <t xml:space="preserve">Foi utilizada a maior taxa de retorno calculada na Nota Conjunta SEI nº 2/2022/STN/SPE/ME-DF (percentil 84), </t>
  </si>
  <si>
    <t>Movimentação RSD 2013-DEZEMBRO 2023</t>
  </si>
  <si>
    <t>Participção Valor Total</t>
  </si>
  <si>
    <t>Participção Peso Total</t>
  </si>
  <si>
    <t>ANO DESEMB</t>
  </si>
  <si>
    <t>CIF REAL IMP</t>
  </si>
  <si>
    <t>PESO LIQ MERC IMP</t>
  </si>
  <si>
    <t>VA Impo</t>
  </si>
  <si>
    <t>VMLE REAL EXP</t>
  </si>
  <si>
    <t>PESO LIQ MERC EXP</t>
  </si>
  <si>
    <t>VA Exp</t>
  </si>
  <si>
    <t>Valor Agregado Imp/Exp</t>
  </si>
  <si>
    <t>Valor Total</t>
  </si>
  <si>
    <t>% Imp</t>
  </si>
  <si>
    <t>% Exp</t>
  </si>
  <si>
    <t>Peso Total</t>
  </si>
  <si>
    <t>RECEITA FEDERAL DO BRASIL - MF</t>
  </si>
  <si>
    <t>EQUIPE REGIONAL DE ALFANDEGAMENTO DA  7ª REGIÃO FISCAL</t>
  </si>
  <si>
    <t>FLUXO DE CARGA E DEMANDA ESTIMADOS</t>
  </si>
  <si>
    <t>Peso de referência (KG))</t>
  </si>
  <si>
    <t xml:space="preserve">TAXA DE CRESCIMENTO ANUAL (%) </t>
  </si>
  <si>
    <t xml:space="preserve">PESO AJUSTADO* </t>
  </si>
  <si>
    <t>TAXA DE ABSORÇÃO EM PESO (%)</t>
  </si>
  <si>
    <t xml:space="preserve">PESO </t>
  </si>
  <si>
    <t>Valor agregado carga absorvida (R$/Kg)</t>
  </si>
  <si>
    <t>*Valores ajustados para 12 meses</t>
  </si>
  <si>
    <t>ANO</t>
  </si>
  <si>
    <t>Fluxo de Carga kg</t>
  </si>
  <si>
    <t>Caminhões/ano</t>
  </si>
  <si>
    <t>Demanda Peso kg</t>
  </si>
  <si>
    <t>Caminhões/mês</t>
  </si>
  <si>
    <t xml:space="preserve">VALOR CIF/FOB (R$) </t>
  </si>
  <si>
    <t xml:space="preserve">Total = </t>
  </si>
  <si>
    <t>Obs.: no primeiro ano a demanda será zerada, e no segundo será proporcional a 6 meses de operação, pois o porto seco terá 18 meses para entrar em funcionamento após a assinatura do contrato de permissão. O valor FOB/CIF foi determinado pelo valor agregado da carga absorvida (R$/kg), calculado a partir dos registros do total de importações e exportações registrado no período de 2023.</t>
  </si>
  <si>
    <t xml:space="preserve">Custo Mão de Obra </t>
  </si>
  <si>
    <t>Ano</t>
  </si>
  <si>
    <t>Área de Trabalho/Função</t>
  </si>
  <si>
    <t>Salário Referência</t>
  </si>
  <si>
    <t>Salário,  encargos e benefícios</t>
  </si>
  <si>
    <t>Quant.</t>
  </si>
  <si>
    <t>Total Mensal</t>
  </si>
  <si>
    <t>Salário Anual</t>
  </si>
  <si>
    <t>Encargos Sociais</t>
  </si>
  <si>
    <t>ÁREA ADMINISTRATIVA / FINANCEIRA</t>
  </si>
  <si>
    <t>Gerente operacional</t>
  </si>
  <si>
    <t>Gerente Financeiro</t>
  </si>
  <si>
    <t>Gerente de TI</t>
  </si>
  <si>
    <t>Gerente de Sustentabilidade e ESG</t>
  </si>
  <si>
    <t xml:space="preserve">Diretor </t>
  </si>
  <si>
    <t>Advogado Junior</t>
  </si>
  <si>
    <t>Programador de Sistema</t>
  </si>
  <si>
    <t>Supervisor Adminstrivo</t>
  </si>
  <si>
    <t>Auxiliar Administrativo</t>
  </si>
  <si>
    <t>Auxiliar de Serviços Gerais</t>
  </si>
  <si>
    <t>Assistente de RH</t>
  </si>
  <si>
    <t>Técnico de TI</t>
  </si>
  <si>
    <t>Responsável Técnico</t>
  </si>
  <si>
    <t>Jovem Aprendiz</t>
  </si>
  <si>
    <t>Técnico de Segurança do Trabalho</t>
  </si>
  <si>
    <t>Analista de Qualidade</t>
  </si>
  <si>
    <t>QUADRO DA ÁREA ADMINISTRATIVA</t>
  </si>
  <si>
    <t>ÁREA COMERCIAL</t>
  </si>
  <si>
    <t>Analista Comercial</t>
  </si>
  <si>
    <t>QUADRO DA ÁREA COMERCIAL</t>
  </si>
  <si>
    <t>ÁREA MANUTENÇÃO</t>
  </si>
  <si>
    <t>Mecânico</t>
  </si>
  <si>
    <t>Artífice</t>
  </si>
  <si>
    <t>QUADRO DA ÁREA MANUTENÇÃO</t>
  </si>
  <si>
    <t>ÁREA OPERACIONAL</t>
  </si>
  <si>
    <t>Fiel Depositário</t>
  </si>
  <si>
    <t>Lider Operacional</t>
  </si>
  <si>
    <t>Operador de Equipamentos Pesados</t>
  </si>
  <si>
    <t>Conferente</t>
  </si>
  <si>
    <t>Ajudante Operacional</t>
  </si>
  <si>
    <t>Motorista</t>
  </si>
  <si>
    <t>Agente de Portaria</t>
  </si>
  <si>
    <t>QUADRO DA ÁREA OPERACIONAL</t>
  </si>
  <si>
    <t>QUADRO DA ÁREA COMERCIAL/MANUTENÇÃO/OPERACIONAL</t>
  </si>
  <si>
    <t>dissídio coletivo 6,50%</t>
  </si>
  <si>
    <t>QUADRO TOTAL DA CONCESSIONÁRIA (sem terceirização)</t>
  </si>
  <si>
    <t>Benefícios considerados</t>
  </si>
  <si>
    <t xml:space="preserve">Assistência Médica </t>
  </si>
  <si>
    <t>Refeição</t>
  </si>
  <si>
    <t>Benefício Social Familair</t>
  </si>
  <si>
    <t>Transporte</t>
  </si>
  <si>
    <t>Seguro de Vida</t>
  </si>
  <si>
    <t>Uniforme e EPI</t>
  </si>
  <si>
    <t>Plano Odontológico</t>
  </si>
  <si>
    <t>Total (funcionário/mês)</t>
  </si>
  <si>
    <t>Periculosidade</t>
  </si>
  <si>
    <t>DIMENSIONAMENTO DOS EQUIPAMENTOS DE MOVIMENTAÇÃO DE CARGA</t>
  </si>
  <si>
    <t>Carga Caminhão/mês</t>
  </si>
  <si>
    <t>Carga Caminhão/mês (des/car)</t>
  </si>
  <si>
    <t>Conteiner armazenado</t>
  </si>
  <si>
    <t>5º</t>
  </si>
  <si>
    <t>15º</t>
  </si>
  <si>
    <t>25º</t>
  </si>
  <si>
    <t>des. - descarregado/carregado</t>
  </si>
  <si>
    <t>EQUIPAMENTO/DEMANDA</t>
  </si>
  <si>
    <t>Reach Stacker</t>
  </si>
  <si>
    <t>Empilhadeira 3t</t>
  </si>
  <si>
    <t>Empilhadeira 6t</t>
  </si>
  <si>
    <t>Empilhadeira 7t</t>
  </si>
  <si>
    <t>Empilhadeira 16t</t>
  </si>
  <si>
    <t>Palleteira Manual</t>
  </si>
  <si>
    <t>1 ao 5º</t>
  </si>
  <si>
    <t>6 ao 15º</t>
  </si>
  <si>
    <t>16 ao 25º</t>
  </si>
  <si>
    <t>DISTRIBUIÇÃO DE FUNCIONÁRIOS POR EQUIPAMENTO</t>
  </si>
  <si>
    <t>Anos 1-10</t>
  </si>
  <si>
    <t>Anos 11-15</t>
  </si>
  <si>
    <t>Anos 16-25</t>
  </si>
  <si>
    <t>Caminhão</t>
  </si>
  <si>
    <t>Tonelada</t>
  </si>
  <si>
    <t>Cargo</t>
  </si>
  <si>
    <t>Equipamento</t>
  </si>
  <si>
    <t>equipamentos</t>
  </si>
  <si>
    <t>Mão de obra</t>
  </si>
  <si>
    <t>QUADRO DE FUNCIONÁRIOS DO SETOR ADMINISTRATIVO</t>
  </si>
  <si>
    <t>SUBTOTAL ADMINISTRATITVO</t>
  </si>
  <si>
    <t>QUADRO DE FUNCIONÁRIOS DO SETOR COMERCIAL</t>
  </si>
  <si>
    <t>Assistente de Vendas</t>
  </si>
  <si>
    <t>SUBTOTAL COMERCIAL</t>
  </si>
  <si>
    <t>QUADRO DE FUNCIONÁRIOS DO SETOR DE MANUTENÇÃO</t>
  </si>
  <si>
    <t>SUBTOTAL MANUTENÇÃO</t>
  </si>
  <si>
    <t>QUADRO DE FUNCIONÁRIOS DO SETOR OPERACIONAL</t>
  </si>
  <si>
    <t>Reach Stacker / 3t / 6t / 7t / 16t</t>
  </si>
  <si>
    <t>SUBTOTAL OPERACIONAL</t>
  </si>
  <si>
    <t>TOTAL GERAL</t>
  </si>
  <si>
    <t>Custos relacionados ao quadro de pessoal</t>
  </si>
  <si>
    <t>VALORES INDIVIDUAIS</t>
  </si>
  <si>
    <t>ANOS 1 – 10</t>
  </si>
  <si>
    <t>ANOS 11 – 15</t>
  </si>
  <si>
    <t>ANOS 16-25</t>
  </si>
  <si>
    <t>CARGO</t>
  </si>
  <si>
    <t>Área</t>
  </si>
  <si>
    <t>Treinamento - Custo Anual R$</t>
  </si>
  <si>
    <t>Material de expediente - Custo Anual R$</t>
  </si>
  <si>
    <t>Telefonia mensal R$</t>
  </si>
  <si>
    <t>Água / esgoto Mensal R$</t>
  </si>
  <si>
    <t xml:space="preserve">Área </t>
  </si>
  <si>
    <t>Estações de trabalho</t>
  </si>
  <si>
    <t>Água Mensal R$</t>
  </si>
  <si>
    <t>TOTAL DE FUNCIONÁRIOS</t>
  </si>
  <si>
    <t>ÁREAS EXTRAS</t>
  </si>
  <si>
    <t>Sala de Reunião (20 pessoas)</t>
  </si>
  <si>
    <t>Área para despachantes</t>
  </si>
  <si>
    <t>Área de descanso motoristas externos</t>
  </si>
  <si>
    <t>Estacionamento funcionários e clientes da permissionária (50 vagas)</t>
  </si>
  <si>
    <t>SUBTOTAL ÁREAS EXTRAS</t>
  </si>
  <si>
    <t>Despesas com energia elétrica</t>
  </si>
  <si>
    <t>Custo da energia (R$/Kwh)</t>
  </si>
  <si>
    <t>ILUMINAÇÃO</t>
  </si>
  <si>
    <t>ADMINISTRAÇÃO</t>
  </si>
  <si>
    <t>Área(m²)</t>
  </si>
  <si>
    <t xml:space="preserve">W/m² </t>
  </si>
  <si>
    <t>Potência instalada (w)</t>
  </si>
  <si>
    <t>Utilização horas/dia</t>
  </si>
  <si>
    <t>Utilização dias/mês</t>
  </si>
  <si>
    <t>Consumo mensal(kwh)</t>
  </si>
  <si>
    <t>Consumo anual (Khw)</t>
  </si>
  <si>
    <t>Custo anual(R$)</t>
  </si>
  <si>
    <t>1º a 10º</t>
  </si>
  <si>
    <t xml:space="preserve">11º ao 15º </t>
  </si>
  <si>
    <t xml:space="preserve">16º ao 25º  </t>
  </si>
  <si>
    <t>PÁTIO</t>
  </si>
  <si>
    <t>Utilizaçãohoras/dia</t>
  </si>
  <si>
    <t>Utilizaçãodias/mês</t>
  </si>
  <si>
    <t>ARMAZÉM</t>
  </si>
  <si>
    <t>ILUMINAÇÃO TOTAL</t>
  </si>
  <si>
    <t>Administração</t>
  </si>
  <si>
    <t>Pátio</t>
  </si>
  <si>
    <t>Armazém</t>
  </si>
  <si>
    <t>TOTAL ANUAL</t>
  </si>
  <si>
    <t>ESTAÇÃO DE TRABALHO</t>
  </si>
  <si>
    <t>Nº estações trabalho</t>
  </si>
  <si>
    <t>Potência equip. (w)</t>
  </si>
  <si>
    <t>Hora/dia</t>
  </si>
  <si>
    <t xml:space="preserve">Dias/mês </t>
  </si>
  <si>
    <t>Consumo mês (kwh)</t>
  </si>
  <si>
    <t>Consumo ano (Kwh)</t>
  </si>
  <si>
    <t>REFRIGERAÇÃO AMBIENTE</t>
  </si>
  <si>
    <t>Área (m²)</t>
  </si>
  <si>
    <t>Potência (BTU)</t>
  </si>
  <si>
    <t>Potência elétrica (Kw)</t>
  </si>
  <si>
    <t>Consumo diário (horas)</t>
  </si>
  <si>
    <t>Consumo mensal (dias)</t>
  </si>
  <si>
    <t>Consumo anual (Kwh)</t>
  </si>
  <si>
    <r>
      <t>ALIMENTAÇÃO REEFER (</t>
    </r>
    <r>
      <rPr>
        <b/>
        <sz val="12"/>
        <color theme="7"/>
        <rFont val="Bookman Old Style"/>
        <family val="1"/>
      </rPr>
      <t>CONSUMO</t>
    </r>
    <r>
      <rPr>
        <b/>
        <sz val="12"/>
        <rFont val="Bookman Old Style"/>
        <family val="1"/>
        <charset val="1"/>
      </rPr>
      <t>)</t>
    </r>
  </si>
  <si>
    <r>
      <t>ARMAZENAGEM REFRIGERADA (</t>
    </r>
    <r>
      <rPr>
        <b/>
        <sz val="12"/>
        <color theme="7"/>
        <rFont val="Bookman Old Style"/>
        <family val="1"/>
      </rPr>
      <t>CONSUMO</t>
    </r>
    <r>
      <rPr>
        <b/>
        <sz val="12"/>
        <rFont val="Bookman Old Style"/>
        <family val="1"/>
        <charset val="1"/>
      </rPr>
      <t>)</t>
    </r>
  </si>
  <si>
    <t>CUSTO ANUAL REFEER E ARMAZENAGEM</t>
  </si>
  <si>
    <t>Nº tomadas</t>
  </si>
  <si>
    <t>Consumo (kw)</t>
  </si>
  <si>
    <t>% utilização</t>
  </si>
  <si>
    <t xml:space="preserve">Consumo mensal (kwh) Reefer </t>
  </si>
  <si>
    <t>Consumo anual (kwh)</t>
  </si>
  <si>
    <r>
      <t>Tamanho em m</t>
    </r>
    <r>
      <rPr>
        <b/>
        <vertAlign val="superscript"/>
        <sz val="10"/>
        <rFont val="Arial"/>
        <family val="2"/>
      </rPr>
      <t>2</t>
    </r>
  </si>
  <si>
    <r>
      <t>Consumo por m</t>
    </r>
    <r>
      <rPr>
        <b/>
        <vertAlign val="superscript"/>
        <sz val="10"/>
        <rFont val="Arial"/>
        <family val="2"/>
      </rPr>
      <t>2</t>
    </r>
  </si>
  <si>
    <t>% Utilização</t>
  </si>
  <si>
    <t>Consumo mensal (kwh)</t>
  </si>
  <si>
    <t>Custo anual Reefer e Armazenagem refrigerada(R$)</t>
  </si>
  <si>
    <t>CUSTO FINAL DE ENERGIA ELÉTRICA</t>
  </si>
  <si>
    <t>EST. TRABALHO</t>
  </si>
  <si>
    <t>REFRIGERAÇÃO</t>
  </si>
  <si>
    <t>TOMADAS TRIFÁSICAS/ARM. REF.</t>
  </si>
  <si>
    <t>SUB TOTAL</t>
  </si>
  <si>
    <t>OUTROS</t>
  </si>
  <si>
    <t>RECEITA FEDERA DO BRASIL - MF</t>
  </si>
  <si>
    <t>CUSTOS DE MANUTENÇÃO E SUPRIMENTO</t>
  </si>
  <si>
    <t>[</t>
  </si>
  <si>
    <t>MOV. CARGA/EQUIPAMENTOS</t>
  </si>
  <si>
    <t>TOTAL</t>
  </si>
  <si>
    <t>Valor unitário do equipamento</t>
  </si>
  <si>
    <t>1-10º ano</t>
  </si>
  <si>
    <t>Número de equipamentos</t>
  </si>
  <si>
    <t>Valor dos equipamentos</t>
  </si>
  <si>
    <t>11-15º ano</t>
  </si>
  <si>
    <t>/</t>
  </si>
  <si>
    <t>16-25º ano</t>
  </si>
  <si>
    <t>Percentual do bem como custo de manutenção e suprimento =</t>
  </si>
  <si>
    <t>Valor total dos equipamentos</t>
  </si>
  <si>
    <t xml:space="preserve">Valor da manutenção anual </t>
  </si>
  <si>
    <t>CUSTO TOTAL COMBUSTÍVEL</t>
  </si>
  <si>
    <t>CUSTO REACH/EMPILH.</t>
  </si>
  <si>
    <t>CUSTO VEICULO LEVE</t>
  </si>
  <si>
    <t>CUSTO TOTAL ANUAL (R$)</t>
  </si>
  <si>
    <t>3 REACH STACKER/3 EMPILHADEIRAS 3T/ 1 EMPILHADEIRA 6T / 1 EMPILHADEIRA DE 7T / 1 EMPILHADEIRA DE 16T</t>
  </si>
  <si>
    <t>Total</t>
  </si>
  <si>
    <t>*Consumo do Reach Stacker motor QSM é de 18L/hora (utilizada a média de 16,5 litros/hora). Preço médio por litro de diesel S10  R$ 6,14 (pesquisa 17/12/2023 a 23/12/2023).  https://www.gov.br/anp/pt-br/assuntos/precos-e-defesa-da-concorrencia/precos/levantamento-de-precos-de-combustiveis-ultimas-semanas-pesquisadas</t>
  </si>
  <si>
    <t>* Consumo da Empilhadeira de 3t é de 2,00 l/h Diesel. Preço médio por litro diesel  R$ 6,14.  https://www.gov.br/anp/pt-br/assuntos/precos-e-defesa-da-concorrencia/precos/levantamento-de-precos-de-combustiveis-ultimas-semanas-pesquisadas</t>
  </si>
  <si>
    <t>* Consumo da Empilhadeira de 6 t é de 11l/h . Preço médio por litro diesel  R$ 6,14.  https://www.gov.br/anp/pt-br/assuntos/precos-e-defesa-da-concorrencia/precos/levantamento-de-precos-de-combustiveis-ultimas-semanas-pesquisadas</t>
  </si>
  <si>
    <t>*Considerou-se que o Reach Stacker e as Empilhadeiras teriam uma carga de trabalho de 8 hrs diárias, 22 dias ao mês.</t>
  </si>
  <si>
    <t>* Consumo da Empilhadeira de 7 t é de 11.5l/h .Preço médio por litro diesel  R$ 6,14.  https://www.gov.br/anp/pt-br/assuntos/precos-e-defesa-da-concorrencia/precos/levantamento-de-precos-de-combustiveis-ultimas-semanas-pesquisadas</t>
  </si>
  <si>
    <t>* Consumo da Empilhadeira de 16 t é de 10l/h . Motor Cummins Tier 3 .  Preço médio por litro diesel  R$ 6,14.  https://www.gov.br/anp/pt-br/assuntos/precos-e-defesa-da-concorrencia/precos/levantamento-de-precos-de-combustiveis-ultimas-semanas-pesquisadas</t>
  </si>
  <si>
    <t xml:space="preserve">CUSTO  VEÍCULO POPULAR </t>
  </si>
  <si>
    <t>CUSTO ANUAL</t>
  </si>
  <si>
    <t>* Consumo do veículo popular é em média 11,6 km/l de gasolina na cidade. Utilizou-se o percurso de 55 km por dia (22 dias ao mês) x 02 veículos . Preço médio por litro de gasolina  é R$ 5,83  (pesquisa 17/12/2023 a 23/12/2023). http://www.inmetro.gov.br/consumidor/pbe/veiculos_leves_2020.pdf</t>
  </si>
  <si>
    <t>CUSTOS DE ALUGUEL - TERRENO</t>
  </si>
  <si>
    <t>Área de expansão máxima (m²)</t>
  </si>
  <si>
    <t>Área final com acréscimo legal (20%)</t>
  </si>
  <si>
    <t>Valor estimado do terreno (R$)</t>
  </si>
  <si>
    <t>Valor estimado do aluguel anual (R$/m²)</t>
  </si>
  <si>
    <t>Custo anual (R$)</t>
  </si>
  <si>
    <t>1-25º</t>
  </si>
  <si>
    <t>Cálculo do valor do m² em acordo com a Lei Complementar 005/2015 - PMR</t>
  </si>
  <si>
    <t>DESPESAS COM IPTU</t>
  </si>
  <si>
    <t>1º  ano</t>
  </si>
  <si>
    <t>2º  ano</t>
  </si>
  <si>
    <t>3 – 10º  ano</t>
  </si>
  <si>
    <t>11  - 15º ano</t>
  </si>
  <si>
    <t>16 - 25º ano</t>
  </si>
  <si>
    <t>Área do terreno (m²)</t>
  </si>
  <si>
    <t>Valor do terreno (R$)</t>
  </si>
  <si>
    <t>Área construída (m²)</t>
  </si>
  <si>
    <t>Valor das instalações (R$)</t>
  </si>
  <si>
    <t>Valor total do imóvel (R$)</t>
  </si>
  <si>
    <t>IPTU/ -0,87%</t>
  </si>
  <si>
    <t>Despesas Gerais relacionadas à estrutura administrativa</t>
  </si>
  <si>
    <t>VIGILÂNGIA ARMADA/DESARMADA</t>
  </si>
  <si>
    <t>Postos diurnos 12 h</t>
  </si>
  <si>
    <t>Postos noturnos 12 h</t>
  </si>
  <si>
    <t>Custo mensal (R$)</t>
  </si>
  <si>
    <t>1 – 10º</t>
  </si>
  <si>
    <t xml:space="preserve">11 – 15º </t>
  </si>
  <si>
    <t xml:space="preserve">16 - 25º </t>
  </si>
  <si>
    <t>GRUPO VILA FORTE</t>
  </si>
  <si>
    <t>LIMPEZA</t>
  </si>
  <si>
    <t>ÁREA INTERNA</t>
  </si>
  <si>
    <t>ÁREA EXTERNA</t>
  </si>
  <si>
    <t>m²</t>
  </si>
  <si>
    <t xml:space="preserve">Custo mensal (R$/m²) </t>
  </si>
  <si>
    <t>CONSULTORIA JURÍDICA</t>
  </si>
  <si>
    <t>CUSTO MENSAL</t>
  </si>
  <si>
    <t>AUDITORIA</t>
  </si>
  <si>
    <t>CONSULTORIA CONTÁBIL</t>
  </si>
  <si>
    <t xml:space="preserve">COMUNICAÇÃO </t>
  </si>
  <si>
    <t>MANUTENÇÃO PREDIAL</t>
  </si>
  <si>
    <t>ÁREA ADMINISTRATIVA</t>
  </si>
  <si>
    <t>ÁREA DE ARMAZEM</t>
  </si>
  <si>
    <t>ÁREA DE PÁTIO</t>
  </si>
  <si>
    <t xml:space="preserve">Custo anual (R$/m²) </t>
  </si>
  <si>
    <t xml:space="preserve">MANUTENÇÃO DE SOFT, REDES </t>
  </si>
  <si>
    <t>Custo mensal</t>
  </si>
  <si>
    <t xml:space="preserve">Custo anual  </t>
  </si>
  <si>
    <t>*Já constando o licenciamento do serviço de software das balanças / OCR / CFTV / Sistemas</t>
  </si>
  <si>
    <t>MANUTENÇÃO DO VEÍCULO LEVE</t>
  </si>
  <si>
    <t>Custo manutenção veículos/ano</t>
  </si>
  <si>
    <t>Custo combustível por veículo/ano</t>
  </si>
  <si>
    <t>Número de veículos</t>
  </si>
  <si>
    <t>Custo anual</t>
  </si>
  <si>
    <t>1 - 25º</t>
  </si>
  <si>
    <t>*manutenção anual 5% do valor do veículo</t>
  </si>
  <si>
    <t>SEGURO PREDIAL E CONTRA INCÊNDIO</t>
  </si>
  <si>
    <t>LICENCIAMENTOS DE ÓRGÃOS PÚBLICOS</t>
  </si>
  <si>
    <t>SUPERINTENDÊNCIA DA RECEITA FEDERAL NA 7ª REGIÃO FISCAL</t>
  </si>
  <si>
    <t xml:space="preserve">DIVISÃO  DE ADMINISTRAÇÃO ADUANEIRA - DIANA </t>
  </si>
  <si>
    <t>Custos operacionais e despesas administrativas</t>
  </si>
  <si>
    <t>SOMA</t>
  </si>
  <si>
    <t>Custos e despesas operacionais</t>
  </si>
  <si>
    <t xml:space="preserve">Combustível </t>
  </si>
  <si>
    <t>Manutenção</t>
  </si>
  <si>
    <t>Seguro da carga armazenada</t>
  </si>
  <si>
    <t>Despesas administrativas</t>
  </si>
  <si>
    <t>Treinamentos</t>
  </si>
  <si>
    <t>Energia</t>
  </si>
  <si>
    <t>Água</t>
  </si>
  <si>
    <t>Telefone</t>
  </si>
  <si>
    <t>IPTU</t>
  </si>
  <si>
    <t>Aluguel do terreno</t>
  </si>
  <si>
    <t>Limpeza</t>
  </si>
  <si>
    <t>Vigilância</t>
  </si>
  <si>
    <t>Consultoria Jurídica</t>
  </si>
  <si>
    <t>Consultoria Auditoria</t>
  </si>
  <si>
    <t>Consultoria Contábil</t>
  </si>
  <si>
    <t>Material de Escritório/Informática/Limpeza</t>
  </si>
  <si>
    <t>Manutenção predial</t>
  </si>
  <si>
    <t>Manutenção de softwares e redes informatizadas</t>
  </si>
  <si>
    <t>Manutenção veículo leve</t>
  </si>
  <si>
    <t>Seguro predial e contra incêndio</t>
  </si>
  <si>
    <t>Comunicação/Publicidade/Festivas</t>
  </si>
  <si>
    <t>Licenciamentos</t>
  </si>
  <si>
    <t>DIMENSIONAMENTO DE PÁTIO E ARMAZÉM - ANEXO IV - FASE INICIAL</t>
  </si>
  <si>
    <t xml:space="preserve">PARÂMETROS DO DIMENSIONAMENTO  </t>
  </si>
  <si>
    <t>Percentual estimado de carga a ser paletizada</t>
  </si>
  <si>
    <t>Peso por palete (tonelada)</t>
  </si>
  <si>
    <t>Peso por caminhão (tonelada)</t>
  </si>
  <si>
    <t>Área para armazenamento e movimentação de palete (m²), sem empilhamento</t>
  </si>
  <si>
    <t xml:space="preserve">Verticalização do armazenamento de paletes </t>
  </si>
  <si>
    <t xml:space="preserve">Acréscimo percentual de área em armazém - Fase inicial </t>
  </si>
  <si>
    <t xml:space="preserve">Acréscimo percentual de área em armazém - Fase 11º ao 15º ano </t>
  </si>
  <si>
    <t>Acréscimo percentual de área em armazém - Fase 16º ao 25º ano</t>
  </si>
  <si>
    <t>Área para estadia/manobra de caminhões (m²)</t>
  </si>
  <si>
    <t xml:space="preserve">Verticalização do armazenamento de caminhão  </t>
  </si>
  <si>
    <t xml:space="preserve">Acréscimo percentual de área em pátio - Fase inicial </t>
  </si>
  <si>
    <t xml:space="preserve">Acréscimo percentual de área em pátio - Fase 11º ao 15º ano </t>
  </si>
  <si>
    <t>Acréscimo percentual de área em pátio - Fase 16º ao 25º ano</t>
  </si>
  <si>
    <t>Período médio de armazenamento palete (dias)</t>
  </si>
  <si>
    <t>Período médio de armazenamento conteiner (dias)</t>
  </si>
  <si>
    <t>Período médio de estadia de caminhões (dias)</t>
  </si>
  <si>
    <t xml:space="preserve">Área para guarda de amostra (art. 11, I, da Portaria RFB 3.518/2011) </t>
  </si>
  <si>
    <t>Área mercadorias frigorificadas (área de armazenamento e área para conferência)</t>
  </si>
  <si>
    <t xml:space="preserve">Área para guarda de mercadoria apreendida (art. 11, II) </t>
  </si>
  <si>
    <t>Área pátio para armazenamento de mercadorias</t>
  </si>
  <si>
    <t>Área necessária para vias/deslocamento/posteamento (m²/ano)</t>
  </si>
  <si>
    <t>Área coberta necessária à conferência de mercadorias (m²/caminhão/ano)</t>
  </si>
  <si>
    <t>Área pátio destinada a caminhões com cargas perigosas</t>
  </si>
  <si>
    <t>Área para estacionamento de veículos pequenos</t>
  </si>
  <si>
    <t>CARGA MOVIMENTADA</t>
  </si>
  <si>
    <t>PESO LIQ (TON)</t>
  </si>
  <si>
    <t>PALLET</t>
  </si>
  <si>
    <t>CARGA CAMINHÃO</t>
  </si>
  <si>
    <t>carga conteiner</t>
  </si>
  <si>
    <t>% POR UNITIZAÇÃO</t>
  </si>
  <si>
    <t>Peso total da carga Palete e Caminhão (ton)</t>
  </si>
  <si>
    <t>Peso por unidade de carga Palete e Caminhão (ton)</t>
  </si>
  <si>
    <t xml:space="preserve">Total de unidade de cargas Palete e Caminhão/ano </t>
  </si>
  <si>
    <t xml:space="preserve">TOTAL UNIDADES MÊS </t>
  </si>
  <si>
    <t>Área para armazenamento de unidade de carga Palete,estacionamento de Caminhão e conteiner (m²)</t>
  </si>
  <si>
    <t>Verticalização do armazenamento (empilhamento)</t>
  </si>
  <si>
    <t xml:space="preserve">ÁREA LÍQUIDA PARA O ARMAZENAMENTO DE PALETE E ESTACIONAMENTO DE CAMINHÃO (m²) </t>
  </si>
  <si>
    <t xml:space="preserve">Acréscimo de área no dimensionamento do armazém e pátio </t>
  </si>
  <si>
    <t xml:space="preserve">ÁREA DE ARMAZÉM </t>
  </si>
  <si>
    <t xml:space="preserve">Área para Guarda de Amostras (m²) </t>
  </si>
  <si>
    <t>Área para conferência/guarda de mercadorias refrigeradas</t>
  </si>
  <si>
    <t xml:space="preserve">Área para Guarda de Mercadorias Apreendida (m²) </t>
  </si>
  <si>
    <t xml:space="preserve">ÁREA TOTAL DO ARMAZEM </t>
  </si>
  <si>
    <r>
      <t>Área para estacionamento/manobra de caminhões/</t>
    </r>
    <r>
      <rPr>
        <sz val="11"/>
        <color rgb="FFFF0000"/>
        <rFont val="Bookman Old Style"/>
        <family val="1"/>
      </rPr>
      <t>Armazenamento de Conteiner</t>
    </r>
  </si>
  <si>
    <t>Área pré-embarque (pulmão para estacionamento de caminhões antes da entrada no recinto)</t>
  </si>
  <si>
    <t>Área própria para conferência de mercadoria refrigerada (m²)</t>
  </si>
  <si>
    <t>Área de pátio destinada ao posicionamento de caminhões na área de conferência refrigerada</t>
  </si>
  <si>
    <t>Área coberta para conferência de mercadoria não refrigerada</t>
  </si>
  <si>
    <t>Área de pátio destinada ao posicionamento de caminhões na área de conferência</t>
  </si>
  <si>
    <t>Área de pátio destinada à caminhões com cargas perigosas</t>
  </si>
  <si>
    <t>ÁREA TOTAL DO PÁTIO</t>
  </si>
  <si>
    <t>ÁREAS ADMINISTRATIVAS INTERNAS</t>
  </si>
  <si>
    <t>Estacionamento Receita Federal e outros órgãos</t>
  </si>
  <si>
    <t>Área Exclusiva da Receita Federal (m²)</t>
  </si>
  <si>
    <t>Área outros órgãos</t>
  </si>
  <si>
    <t>Prédios administrativos da permissionária</t>
  </si>
  <si>
    <t>Áreas administrativas - Total</t>
  </si>
  <si>
    <t>ÁREA TOTAL DO PORTO SECO INICIAL - ANO 1 AO 10º</t>
  </si>
  <si>
    <t xml:space="preserve">DIMENSIONAMENTO DE PÁTIO E ARMAZÉM – 11º AO 15º ANO - ANEXO IV </t>
  </si>
  <si>
    <t>ÁREA DE ARMAZÉM  E PÁTIO</t>
  </si>
  <si>
    <t>Área para estacionamento de caminhões</t>
  </si>
  <si>
    <t>Área de pátio destinada a caminhões com cargas perigosas</t>
  </si>
  <si>
    <t>Área de pátio mínimo de referência (fixa)</t>
  </si>
  <si>
    <t>ÁREAS ADMINISTRATIVAS - ESCRITÓRIOS</t>
  </si>
  <si>
    <t>Área Exclusiva da Receita Federal</t>
  </si>
  <si>
    <t>ÁREA TOTAL DO PORTO SECO ANO 11 A 15</t>
  </si>
  <si>
    <t>DIMENSIONAMENTO DE PÁTIO E ARMAZÉM – 16º AO 25º ANO - ANEXO IV</t>
  </si>
  <si>
    <t xml:space="preserve">ÁREA DE ARMAZÉM E PÁTIO </t>
  </si>
  <si>
    <t>ÁREA TOTAL DO PORTO SECO ANO 16 A 25</t>
  </si>
  <si>
    <t>RECEITA FEDERAL DO BRASIL - RFB</t>
  </si>
  <si>
    <t>ORÇAMENTO INICIAL</t>
  </si>
  <si>
    <t>EQUIPAMENTOS</t>
  </si>
  <si>
    <t>Descrição</t>
  </si>
  <si>
    <t>Qtde.</t>
  </si>
  <si>
    <t xml:space="preserve">Valor Unitário Inicial R$   </t>
  </si>
  <si>
    <t xml:space="preserve">Valor Unitário Atualizado R$   </t>
  </si>
  <si>
    <t xml:space="preserve">Valor Total R$   </t>
  </si>
  <si>
    <t>Depreciação anual 10 %</t>
  </si>
  <si>
    <t>Balança rodoviária (80 ton)</t>
  </si>
  <si>
    <t xml:space="preserve">Scanner </t>
  </si>
  <si>
    <t>Paleteiras hidráulicas 2500kg</t>
  </si>
  <si>
    <t xml:space="preserve">Tomada Trifásica (Reefer) 440V </t>
  </si>
  <si>
    <t>Balança de precisão para pesagem de volumes 30kg</t>
  </si>
  <si>
    <t>Balanças 100 kg</t>
  </si>
  <si>
    <t>Balanças 1500 kg</t>
  </si>
  <si>
    <t>Balanças 2000 kg</t>
  </si>
  <si>
    <t>Grupo-Gerador 150 kva</t>
  </si>
  <si>
    <t>Transformador  + Casa de Força 13.800KV</t>
  </si>
  <si>
    <t>Guaritas para entrada e saída do recinto com cancelas (gates)</t>
  </si>
  <si>
    <t>Sistema de Prevenção e Combate Contra incêndio</t>
  </si>
  <si>
    <t>GATE OCR</t>
  </si>
  <si>
    <t>Outros (diversos, estimados em 15% total)</t>
  </si>
  <si>
    <t>Acrésc. Equip.</t>
  </si>
  <si>
    <t>OBRAS</t>
  </si>
  <si>
    <t>Qtde</t>
  </si>
  <si>
    <t xml:space="preserve">Índice/preço por m2 </t>
  </si>
  <si>
    <t xml:space="preserve">Valor Total         R$   </t>
  </si>
  <si>
    <t>Depreciação anual  5 %</t>
  </si>
  <si>
    <t>Estacionamento RFB/demais órgãos e Permissionária</t>
  </si>
  <si>
    <t>Armazem (área para : carga geral, guarda de amostras, guarda de mercadoria apreendida...) (m²)</t>
  </si>
  <si>
    <t>Pátio (incluindo área de estacionamento e “pulmão”  para estacionamento de caminhões antes da entrada no recinto) (m²)</t>
  </si>
  <si>
    <t xml:space="preserve">Iluminação de pátio, com posteamento de quatro refletores a cada 1000 m² </t>
  </si>
  <si>
    <t>Área administrativa - escritórios</t>
  </si>
  <si>
    <t>Cercamento (m)</t>
  </si>
  <si>
    <t>Outras despesas com obras (diversos, estimados em 20%)</t>
  </si>
  <si>
    <t>Projeto conceitual, básico, executivo e licenças (estimado em 6% do valor da obra)</t>
  </si>
  <si>
    <t>https://www.sinduscon-rio.com.br</t>
  </si>
  <si>
    <t>Depósito (Galpão Industrial - GI) =</t>
  </si>
  <si>
    <t>Área adm. ( Comercial Andares Livres - CAL-8 Padrão Alto) =</t>
  </si>
  <si>
    <t>Acrésc. Obras</t>
  </si>
  <si>
    <t>servidores RFB</t>
  </si>
  <si>
    <t>servidores órgãos anuentes</t>
  </si>
  <si>
    <t>MOBILIÁRIO RFB E OUTROS ÓRGÃOS</t>
  </si>
  <si>
    <t>Armário de Madeira</t>
  </si>
  <si>
    <t>Mesa (Estação de Trabalho)</t>
  </si>
  <si>
    <t>Mesa de Reunião</t>
  </si>
  <si>
    <t>Cadeiras Giratórias</t>
  </si>
  <si>
    <t>Poltronas</t>
  </si>
  <si>
    <t xml:space="preserve">Estantes </t>
  </si>
  <si>
    <t>Gaveteiros</t>
  </si>
  <si>
    <t>Fogão</t>
  </si>
  <si>
    <t>Forno de Microondas</t>
  </si>
  <si>
    <t>Cafeteira</t>
  </si>
  <si>
    <t>Geladeira</t>
  </si>
  <si>
    <t>Bebedouro de água (01 para cada 10 funcionários)</t>
  </si>
  <si>
    <t>BTUs instalado (Condicionadores de ar) (foi considerado necessário 1.000 BTU por metro quadrado)</t>
  </si>
  <si>
    <t>Aparelho Telefônico</t>
  </si>
  <si>
    <t>Copiadora Multifuncional</t>
  </si>
  <si>
    <t>Outros (diversos 15% total)</t>
  </si>
  <si>
    <t>Acrésc. Mob</t>
  </si>
  <si>
    <t>MOBILIÁRIO PERMISSIONÁRIA</t>
  </si>
  <si>
    <t>Armário de Aço</t>
  </si>
  <si>
    <t>Cadeiras</t>
  </si>
  <si>
    <t>Fogão Industrial</t>
  </si>
  <si>
    <t>Refrigerador</t>
  </si>
  <si>
    <t>Frigobar</t>
  </si>
  <si>
    <t>BTUs instalado (Condicionadores de ar) (x1.000)</t>
  </si>
  <si>
    <t>Acrésc. Mob.</t>
  </si>
  <si>
    <t>INFORMÁTICA - RFB E OUTROS ÓRGÃOS</t>
  </si>
  <si>
    <t>Depreciação anual 20 %</t>
  </si>
  <si>
    <t>Microcomputadores (PC + mouse + teclado + monitor)</t>
  </si>
  <si>
    <t>Notebook</t>
  </si>
  <si>
    <t>Impressora Laser Multifuncional com scanner</t>
  </si>
  <si>
    <t>Leitor óptico de barras</t>
  </si>
  <si>
    <t>Rede local de computadores (cabeamento)</t>
  </si>
  <si>
    <t>Outros - Racks, Antena Wi-Fi, Nobreak, Firewall, Switch,..</t>
  </si>
  <si>
    <t>INFORMÁTICA - PERMISSIONÁRIA</t>
  </si>
  <si>
    <t>Impressora Laser</t>
  </si>
  <si>
    <t>Impressora Térmica</t>
  </si>
  <si>
    <t>Outros - Racks, Antena Wi-Fi, Nobreak, Firewall, Switch,Coletor de dados, Licença ERP, OCR, Relógio Ponto...</t>
  </si>
  <si>
    <t>SISTEMAS INFORMATIZADOS - PERMISSIONÁRIA</t>
  </si>
  <si>
    <t xml:space="preserve">Valor Unitário         R$   </t>
  </si>
  <si>
    <t>Sistema Informatizado monitoramento e de vigilância eletrônica</t>
  </si>
  <si>
    <t>Sist.  SICA - Informação de controle de acesso de pessoas e veículos, movimentação de cargas e estocagem de merc.</t>
  </si>
  <si>
    <t>Outros (diversos, acessórios, montagem, etc, 15%)</t>
  </si>
  <si>
    <t>Acrésc. Sist</t>
  </si>
  <si>
    <t>VEÍCULOS - PERMISSIONÁRIA</t>
  </si>
  <si>
    <t>Veículos de Serviço (carro popular)</t>
  </si>
  <si>
    <t>OUTROS SISTEMAS - PERMISSIONÁRIA</t>
  </si>
  <si>
    <t>Sistema de Qualidade</t>
  </si>
  <si>
    <t>Sistema de Segurança e Medicina do Trabalho</t>
  </si>
  <si>
    <t>ORÇAMENTO CONSOLIDADO - Inicial</t>
  </si>
  <si>
    <t xml:space="preserve">Depreciação anual </t>
  </si>
  <si>
    <t>MOBILIÁRIO RFB</t>
  </si>
  <si>
    <t>MOBILIÁRIO PERMISSIONÁRIA E OUTROS ÓRGÃOS</t>
  </si>
  <si>
    <t xml:space="preserve">INFORMÁTICA - PERMISSIONÁRIA </t>
  </si>
  <si>
    <t>Depreciação ano a ano</t>
  </si>
  <si>
    <t>Investimento Inicial</t>
  </si>
  <si>
    <t>Investimento ano 15</t>
  </si>
  <si>
    <t>Investimento ano 25</t>
  </si>
  <si>
    <t>ORÇAMENTO 11º AO 15º ANO</t>
  </si>
  <si>
    <t>REPOSIÇÃO DE EQUIPAMENTOS</t>
  </si>
  <si>
    <t>Qtde. inicial</t>
  </si>
  <si>
    <t>Qtde. Ano 11 a 15</t>
  </si>
  <si>
    <t>Qtde. acrescida</t>
  </si>
  <si>
    <t>Índice/preço por m2 ou ml</t>
  </si>
  <si>
    <t>Depreciação anual  5%</t>
  </si>
  <si>
    <t xml:space="preserve">VPL = </t>
  </si>
  <si>
    <t xml:space="preserve">TIR = </t>
  </si>
  <si>
    <t xml:space="preserve">TA = </t>
  </si>
  <si>
    <t xml:space="preserve">TM = </t>
  </si>
  <si>
    <t xml:space="preserve">Acrésc. Mob. </t>
  </si>
  <si>
    <t>Sistema Informatizado de controle de acesso de pessoas e veículos, movimentação de cargas e estocagem de mercadorias</t>
  </si>
  <si>
    <t>Veículo pequeno de carga</t>
  </si>
  <si>
    <t>Sistema da qualidade</t>
  </si>
  <si>
    <t>Sistema de prevenção contra incêndio</t>
  </si>
  <si>
    <t>ORÇAMENTO CONSOLIDADO - Acréscimo 15º ano</t>
  </si>
  <si>
    <t>ORÇAMENTO 16º AO 25º ANO</t>
  </si>
  <si>
    <t>Qtde. Ano 16 a 25</t>
  </si>
  <si>
    <t>Depreciação anual 10%</t>
  </si>
  <si>
    <t>Depreciação anual 10%*</t>
  </si>
  <si>
    <t>*Depreciação linear até o fim do prazo de permissão ajustada para 10 anos (16º ao 25º).</t>
  </si>
  <si>
    <t>Depreciação anual 20%</t>
  </si>
  <si>
    <t>Acrésc. Inf.</t>
  </si>
  <si>
    <t>ORÇAMENTO CONSOLIDADO - Acréscimo 25º ano</t>
  </si>
  <si>
    <t>Depreciação anual</t>
  </si>
  <si>
    <t>CUSTOS OPERACIONAIS E DESPESAS ADMINISTRATIVAS - RESUMO</t>
  </si>
  <si>
    <t>Resumo dos custos e despesas operacionais e despesas administrativas anuais</t>
  </si>
  <si>
    <t>Custos operacionais - Manutenção e combustível</t>
  </si>
  <si>
    <t>Despesas operacionais - Salários dos setores operacional, manutenção e comercial</t>
  </si>
  <si>
    <t>Despesas administrativas - Salários do setor administrativo</t>
  </si>
  <si>
    <t>Despesas administrativas - demais</t>
  </si>
  <si>
    <t>DEMONSTRATIVO DE RESULTADO DO EXERCÍCIO E FLUXO DE CAIXA</t>
  </si>
  <si>
    <t>ANOS</t>
  </si>
  <si>
    <t>DISPÊNDIO ANUAL</t>
  </si>
  <si>
    <t>Origem do dado</t>
  </si>
  <si>
    <t>R$</t>
  </si>
  <si>
    <t>CUSTOS E DESPESAS</t>
  </si>
  <si>
    <t>Anexo VI</t>
  </si>
  <si>
    <t>DEPRECIAÇÃO</t>
  </si>
  <si>
    <t>Anexo V</t>
  </si>
  <si>
    <t>.</t>
  </si>
  <si>
    <t>TABELA AUXILIAR</t>
  </si>
  <si>
    <t>COMPOSIÇÃO DA RECEITA</t>
  </si>
  <si>
    <t>%</t>
  </si>
  <si>
    <t xml:space="preserve">TA1 = </t>
  </si>
  <si>
    <t xml:space="preserve">DISPÊNDIO ANUAL </t>
  </si>
  <si>
    <t>FUNDAF médio</t>
  </si>
  <si>
    <t xml:space="preserve">TA2 = </t>
  </si>
  <si>
    <t>PIS/COFINS</t>
  </si>
  <si>
    <t>ISSQN</t>
  </si>
  <si>
    <t>LUCRO ANTES DO IR</t>
  </si>
  <si>
    <t>SUBTOTAL</t>
  </si>
  <si>
    <t>RECEITA BRUTA ESPERADA</t>
  </si>
  <si>
    <t>(IRPJ) (15% até R$20mil e 25% acima de R$20mil)</t>
  </si>
  <si>
    <t>(CSLL)</t>
  </si>
  <si>
    <t>RESULTADO LÍQUIDO</t>
  </si>
  <si>
    <t>DEMONSTRATIVO DO RESULTADO DO EXERCÍCIO</t>
  </si>
  <si>
    <t>(PIS/COFINS)</t>
  </si>
  <si>
    <t>(ISSQN)</t>
  </si>
  <si>
    <t>(FUNDAF médio)</t>
  </si>
  <si>
    <t>RECEITA OPERACIONAL LÍQUIDA</t>
  </si>
  <si>
    <t>(CUSTOS E DESPESAS)</t>
  </si>
  <si>
    <t>(DEPRECIAÇÃO)</t>
  </si>
  <si>
    <t>RESULTADO ANTES DO IR e CSLL</t>
  </si>
  <si>
    <t>RESULTADO DO EXERCÍCIO</t>
  </si>
  <si>
    <t>LUCRO %</t>
  </si>
  <si>
    <t>FLUXO DE CAIXA</t>
  </si>
  <si>
    <t>(INVESTIMENTO)</t>
  </si>
  <si>
    <t>FLUXO LÍQUIDO DE CAIXA</t>
  </si>
  <si>
    <t>TAXA DE ATRATIVIDADE (WACC)</t>
  </si>
  <si>
    <t>VPL</t>
  </si>
  <si>
    <t>TIR Modificado</t>
  </si>
  <si>
    <t>CÁLCULO DAS TARIFAS - ANEXO VIII</t>
  </si>
  <si>
    <t>RECEITA BRUTA (R$)</t>
  </si>
  <si>
    <t>Calculada Anexo VII</t>
  </si>
  <si>
    <t>% Receita decorrente de armazenagem - valor da mercadoria</t>
  </si>
  <si>
    <r>
      <t xml:space="preserve">Receita armazenagem -valor da mercadoria (R$) - </t>
    </r>
    <r>
      <rPr>
        <b/>
        <sz val="10"/>
        <rFont val="Arial"/>
        <family val="2"/>
      </rPr>
      <t>TA1</t>
    </r>
  </si>
  <si>
    <t xml:space="preserve">% Receita decorrente de movimentação </t>
  </si>
  <si>
    <r>
      <t xml:space="preserve">Receita movimentação (R$) - </t>
    </r>
    <r>
      <rPr>
        <b/>
        <sz val="10"/>
        <rFont val="Arial"/>
        <family val="2"/>
      </rPr>
      <t>TM</t>
    </r>
  </si>
  <si>
    <t>% Receita de armazenagem - por veículo</t>
  </si>
  <si>
    <r>
      <t xml:space="preserve">Receita com armazenagem - por veículo (R$) - </t>
    </r>
    <r>
      <rPr>
        <b/>
        <sz val="10"/>
        <rFont val="Arial"/>
        <family val="2"/>
      </rPr>
      <t>TA2</t>
    </r>
  </si>
  <si>
    <t>Valor Total da mercadoria armazenada/movimentada (R$)</t>
  </si>
  <si>
    <t>Estimativa Anexo II</t>
  </si>
  <si>
    <t>Peso Total absorvido pelo Porto Seco (ton)</t>
  </si>
  <si>
    <t>Total de Caminhões/unidades de carga</t>
  </si>
  <si>
    <t>CÁLCULO DAS TARIFAS</t>
  </si>
  <si>
    <t>IMPORTAÇÃO / EXPORTAÇÃO</t>
  </si>
  <si>
    <t>Participação de cada tarifa na receita total (%)</t>
  </si>
  <si>
    <t>Receita (R$)</t>
  </si>
  <si>
    <t>Peso (ton)</t>
  </si>
  <si>
    <t>m³/ton</t>
  </si>
  <si>
    <t>Valor Mercadoria (R$)</t>
  </si>
  <si>
    <t>Giro</t>
  </si>
  <si>
    <t>Tarifa</t>
  </si>
  <si>
    <t>ARMAZENAGEM EXPRESSA EM PERCENTUAL SOBRE O VALOR DA MERCADORIA</t>
  </si>
  <si>
    <t>TA1</t>
  </si>
  <si>
    <t xml:space="preserve">% do valor CIF/FOB 10 dias ou fração                          </t>
  </si>
  <si>
    <t xml:space="preserve">MOVIMENTAÇÃO </t>
  </si>
  <si>
    <t>TM</t>
  </si>
  <si>
    <t>R$ por m³</t>
  </si>
  <si>
    <t>Participação da tarifa na receita total (%)</t>
  </si>
  <si>
    <t>Quantidade de veículos ou unidades de carga</t>
  </si>
  <si>
    <t>ARMAZENAGEM EXPRESSA EM REAIS POR VEÍCULO NO CASO DE MERCADORIAS ARMAZENADAS NO VEÍCULO TRANSPORTADOR</t>
  </si>
  <si>
    <t>Giro 2,326</t>
  </si>
  <si>
    <t>TA2</t>
  </si>
  <si>
    <t>R$ por Veículo Transportador por 6 horas ou fração</t>
  </si>
  <si>
    <t>COMPARATIVO DE TARIFAS PRATICADAS NO RJ</t>
  </si>
  <si>
    <t>RJ</t>
  </si>
  <si>
    <t>Amostra</t>
  </si>
  <si>
    <t>PORTO SECO DE RESENDE - NOVA LICITAÇÃO</t>
  </si>
  <si>
    <t>CLIA - CORDOVIL</t>
  </si>
  <si>
    <t>CLIA - ZIRANLOG</t>
  </si>
  <si>
    <t>TMM - PORTO SECO NOVA IGUAÇU</t>
  </si>
  <si>
    <t>PORTO SECO DE RESENDE - ATUAL</t>
  </si>
  <si>
    <t>Mínima</t>
  </si>
  <si>
    <t>Máxima</t>
  </si>
  <si>
    <t xml:space="preserve">ARMAZENAGEM </t>
  </si>
  <si>
    <t>10 dias</t>
  </si>
  <si>
    <r>
      <t>TA</t>
    </r>
    <r>
      <rPr>
        <vertAlign val="subscript"/>
        <sz val="10"/>
        <rFont val="Arial"/>
        <family val="2"/>
      </rPr>
      <t>1</t>
    </r>
  </si>
  <si>
    <t xml:space="preserve">% do valor CIF/FOB  10 dias ou fração                          </t>
  </si>
  <si>
    <t>MOVIMENTAÇÃO</t>
  </si>
  <si>
    <t xml:space="preserve">por m3 </t>
  </si>
  <si>
    <t>VINCULADA</t>
  </si>
  <si>
    <r>
      <t>TA</t>
    </r>
    <r>
      <rPr>
        <vertAlign val="subscript"/>
        <sz val="10"/>
        <rFont val="Arial"/>
        <family val="2"/>
      </rPr>
      <t>2</t>
    </r>
  </si>
  <si>
    <t>Por veículo e unidade de carga (6horas ou fração)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</si>
</sst>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4" formatCode="_-&quot;R$&quot;\ * #,##0.00_-;\-&quot;R$&quot;\ * #,##0.00_-;_-&quot;R$&quot;\ * &quot;-&quot;??_-;_-@_-"/>
    <numFmt numFmtId="43" formatCode="_-* #,##0.00_-;\-* #,##0.00_-;_-* &quot;-&quot;??_-;_-@_-"/>
    <numFmt numFmtId="164" formatCode="_(* #,##0_);_(* \(#,##0\);_(* \-??_);_(@_)"/>
    <numFmt numFmtId="165" formatCode="_(* #,##0.00_);_(* \(#,##0.00\);_(* \-??_);_(@_)"/>
    <numFmt numFmtId="166" formatCode="_(* #,##0_);_(* \(#,##0\);_(* \-_);_(@_)"/>
    <numFmt numFmtId="167" formatCode="#,##0.00;[Red]#,##0.00"/>
    <numFmt numFmtId="168" formatCode="_(&quot;R$&quot;* #,##0.00_);_(&quot;R$&quot;* \(#,##0.00\);_(&quot;R$&quot;* \-??_);_(@_)"/>
    <numFmt numFmtId="169" formatCode="[$R$-416]\ #,##0.00;[Red]\-[$R$-416]\ #,##0.00"/>
    <numFmt numFmtId="170" formatCode="[$-416]#,##0.00_);[Red]\(#,##0.00\)"/>
    <numFmt numFmtId="171" formatCode="0.0"/>
    <numFmt numFmtId="172" formatCode="&quot;R$&quot;#,##0.00"/>
    <numFmt numFmtId="173" formatCode="&quot;R$&quot;#,##0.00_);[Red]&quot;(R$&quot;#,##0.00\)"/>
    <numFmt numFmtId="174" formatCode="#,##0.0"/>
    <numFmt numFmtId="175" formatCode="_-* #,##0.00_-;\-* #,##0.00_-;_-* \-??_-;_-@_-"/>
    <numFmt numFmtId="176" formatCode="[$-416]#,##0_);\(#,##0\)"/>
    <numFmt numFmtId="177" formatCode="[$-416]#,##0.00_);\(#,##0.00\)"/>
    <numFmt numFmtId="178" formatCode="_(&quot;R$ &quot;* #,##0.00_);_(&quot;R$ &quot;* \(#,##0.00\);_(&quot;R$ &quot;* \-??_);_(@_)"/>
    <numFmt numFmtId="179" formatCode="0.0%"/>
    <numFmt numFmtId="180" formatCode="_(* #,##0.0000_);_(* \(#,##0.0000\);_(* \-??_);_(@_)"/>
    <numFmt numFmtId="181" formatCode="&quot;R$ &quot;#,##0.00_);[Red]&quot;(R$ &quot;#,##0.00\)"/>
    <numFmt numFmtId="182" formatCode="[$-416]#,##0_);[Red]\(#,##0\)"/>
    <numFmt numFmtId="183" formatCode="0;;;@"/>
    <numFmt numFmtId="184" formatCode="_(* #,##0.000_);_(* \(#,##0.000\);_(* \-??_);_(@_)"/>
    <numFmt numFmtId="185" formatCode="#,##0.0;[Red]#,##0.0"/>
    <numFmt numFmtId="186" formatCode="#,##0.00_ ;[Red]\-#,##0.00\ "/>
    <numFmt numFmtId="187" formatCode="0.000"/>
    <numFmt numFmtId="188" formatCode="0.0000"/>
    <numFmt numFmtId="189" formatCode="#,##0.0000"/>
    <numFmt numFmtId="190" formatCode="_-[$R$-416]\ * #,##0.00_-;\-[$R$-416]\ * #,##0.00_-;_-[$R$-416]\ * &quot;-&quot;??_-;_-@_-"/>
    <numFmt numFmtId="191" formatCode="_-&quot;R$&quot;\ * #,##0.0000_-;\-&quot;R$&quot;\ * #,##0.0000_-;_-&quot;R$&quot;\ * &quot;-&quot;??_-;_-@_-"/>
    <numFmt numFmtId="192" formatCode="[$R$-416]&quot; &quot;#,##0.00;[Red]&quot;-&quot;[$R$-416]&quot; &quot;#,##0.00"/>
    <numFmt numFmtId="193" formatCode="&quot;R$&quot;\ #,##0.00"/>
    <numFmt numFmtId="194" formatCode="_-* #,##0_-;\-* #,##0_-;_-* &quot;-&quot;??_-;_-@_-"/>
  </numFmts>
  <fonts count="91" x14ac:knownFonts="1">
    <font>
      <sz val="10"/>
      <color rgb="FF000000"/>
      <name val="Arial"/>
      <charset val="1"/>
    </font>
    <font>
      <sz val="8"/>
      <color rgb="FF000000"/>
      <name val="Tahoma"/>
      <family val="2"/>
      <charset val="1"/>
    </font>
    <font>
      <b/>
      <sz val="10"/>
      <color rgb="FFFFFFFF"/>
      <name val="Verdana"/>
      <family val="2"/>
      <charset val="1"/>
    </font>
    <font>
      <b/>
      <sz val="9"/>
      <color rgb="FFFFFFFF"/>
      <name val="Verdana"/>
      <family val="2"/>
      <charset val="1"/>
    </font>
    <font>
      <sz val="9"/>
      <color rgb="FF000000"/>
      <name val="Arial"/>
      <family val="2"/>
      <charset val="1"/>
    </font>
    <font>
      <sz val="10"/>
      <name val="Arial"/>
      <family val="2"/>
      <charset val="1"/>
    </font>
    <font>
      <b/>
      <sz val="12"/>
      <color rgb="FFFFFFFF"/>
      <name val="Bookman Old Style"/>
      <family val="1"/>
      <charset val="1"/>
    </font>
    <font>
      <b/>
      <sz val="14"/>
      <name val="Bookman Old Style"/>
      <family val="1"/>
      <charset val="1"/>
    </font>
    <font>
      <sz val="11"/>
      <name val="Bookman Old Style"/>
      <family val="1"/>
      <charset val="1"/>
    </font>
    <font>
      <b/>
      <sz val="11"/>
      <name val="Bookman Old Style"/>
      <family val="1"/>
      <charset val="1"/>
    </font>
    <font>
      <sz val="10"/>
      <color rgb="FFFF4000"/>
      <name val="Arial"/>
      <family val="2"/>
      <charset val="1"/>
    </font>
    <font>
      <sz val="10"/>
      <name val="Bookman Old Style"/>
      <family val="1"/>
      <charset val="1"/>
    </font>
    <font>
      <sz val="8"/>
      <name val="Arial"/>
      <family val="2"/>
      <charset val="1"/>
    </font>
    <font>
      <b/>
      <sz val="12"/>
      <name val="Bookman Old Style"/>
      <family val="1"/>
      <charset val="1"/>
    </font>
    <font>
      <b/>
      <sz val="12"/>
      <name val="Arial"/>
      <family val="2"/>
      <charset val="1"/>
    </font>
    <font>
      <b/>
      <sz val="10"/>
      <name val="Arial"/>
      <family val="2"/>
      <charset val="1"/>
    </font>
    <font>
      <sz val="10"/>
      <color rgb="FF212529"/>
      <name val="Arial"/>
      <family val="2"/>
      <charset val="1"/>
    </font>
    <font>
      <sz val="11"/>
      <name val="Calibri"/>
      <family val="2"/>
      <charset val="1"/>
    </font>
    <font>
      <b/>
      <sz val="11"/>
      <color rgb="FF000000"/>
      <name val="Bookman Old Style"/>
      <family val="1"/>
      <charset val="1"/>
    </font>
    <font>
      <b/>
      <sz val="10"/>
      <color rgb="FF000000"/>
      <name val="Arial"/>
      <family val="2"/>
      <charset val="1"/>
    </font>
    <font>
      <b/>
      <sz val="11"/>
      <name val="Calibri"/>
      <family val="2"/>
      <charset val="1"/>
    </font>
    <font>
      <b/>
      <sz val="11"/>
      <name val="Arial"/>
      <family val="2"/>
      <charset val="1"/>
    </font>
    <font>
      <sz val="10"/>
      <color rgb="FF000000"/>
      <name val="Arial"/>
      <family val="2"/>
      <charset val="1"/>
    </font>
    <font>
      <b/>
      <sz val="11"/>
      <color rgb="FFFFFFFF"/>
      <name val="Bookman Old Style"/>
      <family val="1"/>
      <charset val="1"/>
    </font>
    <font>
      <b/>
      <sz val="9"/>
      <name val="Arial"/>
      <family val="2"/>
      <charset val="1"/>
    </font>
    <font>
      <sz val="9"/>
      <name val="Arial"/>
      <family val="2"/>
      <charset val="1"/>
    </font>
    <font>
      <sz val="12"/>
      <name val="Bookman Old Style"/>
      <family val="1"/>
      <charset val="1"/>
    </font>
    <font>
      <sz val="11"/>
      <color rgb="FF000000"/>
      <name val="Bookman Old Style"/>
      <family val="1"/>
      <charset val="1"/>
    </font>
    <font>
      <b/>
      <sz val="10"/>
      <color rgb="FF000000"/>
      <name val="Bookman Old Style"/>
      <family val="1"/>
      <charset val="1"/>
    </font>
    <font>
      <b/>
      <sz val="10"/>
      <name val="Bookman Old Style"/>
      <family val="1"/>
      <charset val="1"/>
    </font>
    <font>
      <b/>
      <sz val="12"/>
      <color rgb="FFFFFFFF"/>
      <name val="Arial"/>
      <family val="2"/>
      <charset val="1"/>
    </font>
    <font>
      <b/>
      <sz val="14"/>
      <name val="Arial"/>
      <family val="2"/>
      <charset val="1"/>
    </font>
    <font>
      <sz val="10"/>
      <color rgb="FF0000FF"/>
      <name val="Arial"/>
      <family val="2"/>
      <charset val="1"/>
    </font>
    <font>
      <sz val="14"/>
      <name val="Arial"/>
      <family val="2"/>
      <charset val="1"/>
    </font>
    <font>
      <sz val="14"/>
      <name val="Bookman Old Style"/>
      <family val="1"/>
      <charset val="1"/>
    </font>
    <font>
      <sz val="12"/>
      <name val="Arial"/>
      <family val="2"/>
      <charset val="1"/>
    </font>
    <font>
      <sz val="9"/>
      <color rgb="FF000000"/>
      <name val="Segoe UI"/>
      <family val="2"/>
      <charset val="1"/>
    </font>
    <font>
      <sz val="10"/>
      <name val="Arial"/>
      <family val="2"/>
    </font>
    <font>
      <u/>
      <sz val="10"/>
      <color rgb="FF0563C1"/>
      <name val="Arial"/>
      <family val="2"/>
      <charset val="1"/>
    </font>
    <font>
      <u/>
      <sz val="9"/>
      <color rgb="FF0000FF"/>
      <name val="Arial"/>
      <family val="2"/>
      <charset val="1"/>
    </font>
    <font>
      <b/>
      <sz val="14"/>
      <color rgb="FF000000"/>
      <name val="Bookman Old Style"/>
      <family val="1"/>
      <charset val="1"/>
    </font>
    <font>
      <b/>
      <sz val="12"/>
      <color rgb="FF000000"/>
      <name val="Arial"/>
      <family val="2"/>
      <charset val="1"/>
    </font>
    <font>
      <b/>
      <sz val="10"/>
      <color rgb="FFFFFFFF"/>
      <name val="Bookman Old Style"/>
      <family val="1"/>
      <charset val="1"/>
    </font>
    <font>
      <b/>
      <sz val="12"/>
      <color rgb="FF000000"/>
      <name val="Bookman Old Style"/>
      <family val="1"/>
      <charset val="1"/>
    </font>
    <font>
      <b/>
      <sz val="10"/>
      <color rgb="FFFF0000"/>
      <name val="Arial"/>
      <family val="2"/>
      <charset val="1"/>
    </font>
    <font>
      <b/>
      <sz val="11"/>
      <color rgb="FF0000FF"/>
      <name val="Bookman Old Style"/>
      <family val="1"/>
      <charset val="1"/>
    </font>
    <font>
      <b/>
      <sz val="11"/>
      <color rgb="FFFF0000"/>
      <name val="Bookman Old Style"/>
      <family val="1"/>
      <charset val="1"/>
    </font>
    <font>
      <sz val="10"/>
      <color rgb="FF000000"/>
      <name val="Arial"/>
      <family val="2"/>
    </font>
    <font>
      <sz val="9"/>
      <color indexed="81"/>
      <name val="Segoe UI"/>
      <family val="2"/>
    </font>
    <font>
      <b/>
      <sz val="9"/>
      <color indexed="81"/>
      <name val="Segoe UI"/>
      <family val="2"/>
    </font>
    <font>
      <sz val="9"/>
      <color rgb="FFFF0000"/>
      <name val="Arial"/>
      <family val="2"/>
      <charset val="1"/>
    </font>
    <font>
      <sz val="10"/>
      <color rgb="FFFF0000"/>
      <name val="Arial"/>
      <family val="2"/>
      <charset val="1"/>
    </font>
    <font>
      <sz val="11"/>
      <color theme="0"/>
      <name val="Calibri"/>
      <family val="2"/>
      <scheme val="minor"/>
    </font>
    <font>
      <b/>
      <sz val="10"/>
      <name val="Arial"/>
      <family val="2"/>
    </font>
    <font>
      <b/>
      <sz val="8"/>
      <name val="Arial"/>
      <family val="2"/>
    </font>
    <font>
      <b/>
      <sz val="8"/>
      <color rgb="FF000000"/>
      <name val="Arial"/>
      <family val="2"/>
    </font>
    <font>
      <vertAlign val="subscript"/>
      <sz val="10"/>
      <name val="Arial"/>
      <family val="2"/>
    </font>
    <font>
      <sz val="9"/>
      <name val="Bookman Old Style"/>
      <family val="1"/>
      <charset val="1"/>
    </font>
    <font>
      <b/>
      <sz val="14"/>
      <color theme="1"/>
      <name val="Bookman Old Style"/>
      <family val="1"/>
    </font>
    <font>
      <sz val="10"/>
      <color theme="1"/>
      <name val="Arial"/>
      <family val="2"/>
    </font>
    <font>
      <b/>
      <sz val="10"/>
      <color theme="1"/>
      <name val="Arial"/>
      <family val="2"/>
    </font>
    <font>
      <sz val="11"/>
      <color theme="1"/>
      <name val="Bookman Old Style"/>
      <family val="1"/>
    </font>
    <font>
      <sz val="11"/>
      <color rgb="FFFF0000"/>
      <name val="Bookman Old Style"/>
      <family val="1"/>
    </font>
    <font>
      <b/>
      <sz val="14"/>
      <color rgb="FFFF0000"/>
      <name val="Bookman Old Style"/>
      <family val="1"/>
      <charset val="1"/>
    </font>
    <font>
      <sz val="10"/>
      <color rgb="FFFF0000"/>
      <name val="Arial"/>
      <family val="2"/>
    </font>
    <font>
      <b/>
      <vertAlign val="superscript"/>
      <sz val="10"/>
      <name val="Arial"/>
      <family val="2"/>
    </font>
    <font>
      <b/>
      <sz val="12"/>
      <color rgb="FFFF0000"/>
      <name val="Bookman Old Style"/>
      <family val="1"/>
      <charset val="1"/>
    </font>
    <font>
      <b/>
      <sz val="12"/>
      <color theme="7"/>
      <name val="Bookman Old Style"/>
      <family val="1"/>
    </font>
    <font>
      <sz val="11"/>
      <color rgb="FFFF0000"/>
      <name val="Bookman Old Style"/>
      <family val="1"/>
      <charset val="1"/>
    </font>
    <font>
      <sz val="8"/>
      <color rgb="FFFF0000"/>
      <name val="Arial"/>
      <family val="2"/>
      <charset val="1"/>
    </font>
    <font>
      <b/>
      <sz val="8"/>
      <color rgb="FFFF0000"/>
      <name val="Arial"/>
      <family val="2"/>
      <charset val="1"/>
    </font>
    <font>
      <b/>
      <sz val="8"/>
      <color theme="1"/>
      <name val="Bookman Old Style"/>
      <family val="1"/>
    </font>
    <font>
      <b/>
      <sz val="10"/>
      <color rgb="FF000000"/>
      <name val="Arial"/>
      <family val="2"/>
    </font>
    <font>
      <sz val="9"/>
      <color rgb="FF00000A"/>
      <name val="Arial"/>
      <family val="2"/>
    </font>
    <font>
      <b/>
      <sz val="9"/>
      <color rgb="FF00000A"/>
      <name val="Arial"/>
      <family val="2"/>
    </font>
    <font>
      <b/>
      <sz val="9"/>
      <color rgb="FF000000"/>
      <name val="Arial"/>
      <family val="2"/>
    </font>
    <font>
      <b/>
      <vertAlign val="superscript"/>
      <sz val="9"/>
      <color rgb="FF000000"/>
      <name val="Arial"/>
      <family val="2"/>
    </font>
    <font>
      <b/>
      <sz val="9"/>
      <color theme="1"/>
      <name val="Arial"/>
      <family val="2"/>
    </font>
    <font>
      <b/>
      <sz val="10"/>
      <color rgb="FF00000A"/>
      <name val="Arial"/>
      <family val="2"/>
    </font>
    <font>
      <b/>
      <vertAlign val="subscript"/>
      <sz val="10"/>
      <color rgb="FF00000A"/>
      <name val="Arial"/>
      <family val="2"/>
    </font>
    <font>
      <sz val="10"/>
      <color rgb="FF00000A"/>
      <name val="Arial"/>
      <family val="2"/>
    </font>
    <font>
      <vertAlign val="superscript"/>
      <sz val="10"/>
      <color rgb="FF00000A"/>
      <name val="Arial"/>
      <family val="2"/>
    </font>
    <font>
      <b/>
      <sz val="9"/>
      <name val="Arial"/>
      <family val="2"/>
    </font>
    <font>
      <b/>
      <sz val="12"/>
      <color rgb="FF000000"/>
      <name val="Times New Roman"/>
      <family val="1"/>
    </font>
    <font>
      <b/>
      <i/>
      <sz val="9"/>
      <color rgb="FF000000"/>
      <name val="Arial"/>
      <family val="2"/>
    </font>
    <font>
      <sz val="10"/>
      <color theme="1"/>
      <name val="Arial"/>
    </font>
    <font>
      <sz val="10"/>
      <color rgb="FF000000"/>
      <name val="Arial"/>
    </font>
    <font>
      <sz val="14"/>
      <color rgb="FF000000"/>
      <name val="Tahoma"/>
      <family val="2"/>
      <charset val="1"/>
    </font>
    <font>
      <sz val="10"/>
      <color rgb="FFFF0000"/>
      <name val="Arial"/>
      <charset val="1"/>
    </font>
    <font>
      <b/>
      <sz val="9"/>
      <color rgb="FF000000"/>
      <name val="Arial"/>
    </font>
    <font>
      <b/>
      <vertAlign val="superscript"/>
      <sz val="9"/>
      <color rgb="FF000000"/>
      <name val="Arial"/>
    </font>
  </fonts>
  <fills count="38">
    <fill>
      <patternFill patternType="none"/>
    </fill>
    <fill>
      <patternFill patternType="gray125"/>
    </fill>
    <fill>
      <patternFill patternType="solid">
        <fgColor rgb="FF009393"/>
        <bgColor rgb="FF008080"/>
      </patternFill>
    </fill>
    <fill>
      <patternFill patternType="solid">
        <fgColor rgb="FFC0C0C0"/>
        <bgColor rgb="FFAEB3B6"/>
      </patternFill>
    </fill>
    <fill>
      <patternFill patternType="solid">
        <fgColor rgb="FF99CCFF"/>
        <bgColor rgb="FFCCCCFF"/>
      </patternFill>
    </fill>
    <fill>
      <patternFill patternType="solid">
        <fgColor rgb="FF0000FF"/>
        <bgColor rgb="FF0000FF"/>
      </patternFill>
    </fill>
    <fill>
      <patternFill patternType="solid">
        <fgColor rgb="FFFFFFFF"/>
        <bgColor rgb="FFFFFFCC"/>
      </patternFill>
    </fill>
    <fill>
      <patternFill patternType="solid">
        <fgColor rgb="FFCCFFCC"/>
        <bgColor rgb="FFCCFFFF"/>
      </patternFill>
    </fill>
    <fill>
      <patternFill patternType="solid">
        <fgColor rgb="FFCCCCFF"/>
        <bgColor rgb="FFD5D5D5"/>
      </patternFill>
    </fill>
    <fill>
      <patternFill patternType="solid">
        <fgColor rgb="FFFFFF99"/>
        <bgColor rgb="FFFFFFCC"/>
      </patternFill>
    </fill>
    <fill>
      <patternFill patternType="solid">
        <fgColor rgb="FFFFFFCC"/>
        <bgColor rgb="FFFFFFFF"/>
      </patternFill>
    </fill>
    <fill>
      <patternFill patternType="solid">
        <fgColor rgb="FFFFFF00"/>
        <bgColor rgb="FFFFFF00"/>
      </patternFill>
    </fill>
    <fill>
      <patternFill patternType="solid">
        <fgColor rgb="FFFFCC99"/>
        <bgColor rgb="FFD5D5D5"/>
      </patternFill>
    </fill>
    <fill>
      <patternFill patternType="solid">
        <fgColor rgb="FFFF99CC"/>
        <bgColor rgb="FFFF8080"/>
      </patternFill>
    </fill>
    <fill>
      <patternFill patternType="solid">
        <fgColor rgb="FFCCFFFF"/>
        <bgColor rgb="FFCCFFCC"/>
      </patternFill>
    </fill>
    <fill>
      <patternFill patternType="solid">
        <fgColor rgb="FFFF0066"/>
        <bgColor rgb="FFFF0000"/>
      </patternFill>
    </fill>
    <fill>
      <patternFill patternType="solid">
        <fgColor rgb="FFD8D8D8"/>
        <bgColor rgb="FFD5D5D5"/>
      </patternFill>
    </fill>
    <fill>
      <patternFill patternType="solid">
        <fgColor rgb="FFFFFF00"/>
        <bgColor rgb="FFFFFFCC"/>
      </patternFill>
    </fill>
    <fill>
      <patternFill patternType="solid">
        <fgColor rgb="FFFFFF00"/>
        <bgColor indexed="64"/>
      </patternFill>
    </fill>
    <fill>
      <patternFill patternType="solid">
        <fgColor theme="5"/>
      </patternFill>
    </fill>
    <fill>
      <patternFill patternType="solid">
        <fgColor theme="0"/>
        <bgColor indexed="64"/>
      </patternFill>
    </fill>
    <fill>
      <patternFill patternType="solid">
        <fgColor rgb="FFFFFF00"/>
        <bgColor rgb="FFCCCCFF"/>
      </patternFill>
    </fill>
    <fill>
      <patternFill patternType="solid">
        <fgColor rgb="FFFFFF00"/>
        <bgColor rgb="FFCCFFFF"/>
      </patternFill>
    </fill>
    <fill>
      <patternFill patternType="solid">
        <fgColor rgb="FFFFFFFF"/>
        <bgColor rgb="FFFFFFFF"/>
      </patternFill>
    </fill>
    <fill>
      <patternFill patternType="solid">
        <fgColor rgb="FF99CCFF"/>
        <bgColor rgb="FF99CCFF"/>
      </patternFill>
    </fill>
    <fill>
      <patternFill patternType="solid">
        <fgColor rgb="FFCCFFFF"/>
        <bgColor rgb="FFCCFFFF"/>
      </patternFill>
    </fill>
    <fill>
      <patternFill patternType="solid">
        <fgColor rgb="FFFFFF99"/>
        <bgColor rgb="FFFFFF99"/>
      </patternFill>
    </fill>
    <fill>
      <patternFill patternType="solid">
        <fgColor theme="0" tint="-0.249977111117893"/>
        <bgColor indexed="64"/>
      </patternFill>
    </fill>
    <fill>
      <patternFill patternType="solid">
        <fgColor theme="0"/>
        <bgColor rgb="FFD5D5D5"/>
      </patternFill>
    </fill>
    <fill>
      <patternFill patternType="solid">
        <fgColor theme="0"/>
        <bgColor rgb="FFFF8080"/>
      </patternFill>
    </fill>
    <fill>
      <patternFill patternType="solid">
        <fgColor theme="0"/>
        <bgColor rgb="FFCCFFFF"/>
      </patternFill>
    </fill>
    <fill>
      <patternFill patternType="solid">
        <fgColor theme="8" tint="0.59999389629810485"/>
        <bgColor rgb="FFCCCCFF"/>
      </patternFill>
    </fill>
    <fill>
      <patternFill patternType="solid">
        <fgColor theme="8" tint="0.59999389629810485"/>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00"/>
        <bgColor rgb="FFAEB3B6"/>
      </patternFill>
    </fill>
    <fill>
      <patternFill patternType="solid">
        <fgColor rgb="FFFFFF00"/>
        <bgColor rgb="FFFFFFFF"/>
      </patternFill>
    </fill>
    <fill>
      <patternFill patternType="solid">
        <fgColor rgb="FFFFFFFF"/>
        <bgColor indexed="64"/>
      </patternFill>
    </fill>
  </fills>
  <borders count="71">
    <border>
      <left/>
      <right/>
      <top/>
      <bottom/>
      <diagonal/>
    </border>
    <border>
      <left style="thin">
        <color rgb="FFFFFFFF"/>
      </left>
      <right/>
      <top/>
      <bottom/>
      <diagonal/>
    </border>
    <border>
      <left style="thin">
        <color rgb="FFFFFFFF"/>
      </left>
      <right/>
      <top/>
      <bottom style="thin">
        <color rgb="FFFFFFFF"/>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
      <left style="medium">
        <color auto="1"/>
      </left>
      <right/>
      <top/>
      <bottom/>
      <diagonal/>
    </border>
    <border>
      <left/>
      <right style="medium">
        <color auto="1"/>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right/>
      <top style="thin">
        <color auto="1"/>
      </top>
      <bottom/>
      <diagonal/>
    </border>
    <border>
      <left/>
      <right style="thin">
        <color auto="1"/>
      </right>
      <top/>
      <bottom/>
      <diagonal/>
    </border>
    <border>
      <left/>
      <right/>
      <top/>
      <bottom style="medium">
        <color auto="1"/>
      </bottom>
      <diagonal/>
    </border>
    <border>
      <left style="medium">
        <color auto="1"/>
      </left>
      <right style="medium">
        <color auto="1"/>
      </right>
      <top/>
      <bottom style="medium">
        <color auto="1"/>
      </bottom>
      <diagonal/>
    </border>
    <border>
      <left/>
      <right style="thin">
        <color auto="1"/>
      </right>
      <top style="thin">
        <color auto="1"/>
      </top>
      <bottom/>
      <diagonal/>
    </border>
    <border>
      <left/>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thin">
        <color auto="1"/>
      </left>
      <right/>
      <top/>
      <bottom/>
      <diagonal/>
    </border>
    <border>
      <left style="thin">
        <color auto="1"/>
      </left>
      <right/>
      <top style="thin">
        <color auto="1"/>
      </top>
      <bottom style="medium">
        <color auto="1"/>
      </bottom>
      <diagonal/>
    </border>
    <border>
      <left style="medium">
        <color auto="1"/>
      </left>
      <right/>
      <top style="thin">
        <color auto="1"/>
      </top>
      <bottom style="medium">
        <color auto="1"/>
      </bottom>
      <diagonal/>
    </border>
    <border>
      <left style="thin">
        <color auto="1"/>
      </left>
      <right/>
      <top/>
      <bottom style="thin">
        <color auto="1"/>
      </bottom>
      <diagonal/>
    </border>
    <border>
      <left style="thin">
        <color auto="1"/>
      </left>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bottom style="thin">
        <color rgb="FF000000"/>
      </bottom>
      <diagonal/>
    </border>
    <border>
      <left style="thin">
        <color auto="1"/>
      </left>
      <right/>
      <top/>
      <bottom style="thin">
        <color rgb="FF000000"/>
      </bottom>
      <diagonal/>
    </border>
    <border>
      <left style="medium">
        <color auto="1"/>
      </left>
      <right style="medium">
        <color auto="1"/>
      </right>
      <top/>
      <bottom style="thin">
        <color rgb="FF000000"/>
      </bottom>
      <diagonal/>
    </border>
    <border>
      <left/>
      <right style="thin">
        <color rgb="FF000000"/>
      </right>
      <top/>
      <bottom style="thin">
        <color rgb="FF000000"/>
      </bottom>
      <diagonal/>
    </border>
    <border>
      <left style="thin">
        <color auto="1"/>
      </left>
      <right style="thin">
        <color auto="1"/>
      </right>
      <top style="thin">
        <color rgb="FF000000"/>
      </top>
      <bottom style="thin">
        <color rgb="FF000000"/>
      </bottom>
      <diagonal/>
    </border>
    <border>
      <left style="medium">
        <color auto="1"/>
      </left>
      <right style="thin">
        <color rgb="FF000000"/>
      </right>
      <top style="medium">
        <color auto="1"/>
      </top>
      <bottom style="medium">
        <color auto="1"/>
      </bottom>
      <diagonal/>
    </border>
    <border>
      <left style="thin">
        <color rgb="FF000000"/>
      </left>
      <right style="thin">
        <color rgb="FF000000"/>
      </right>
      <top style="thin">
        <color rgb="FF000000"/>
      </top>
      <bottom style="thin">
        <color rgb="FF000000"/>
      </bottom>
      <diagonal/>
    </border>
    <border>
      <left style="medium">
        <color auto="1"/>
      </left>
      <right style="medium">
        <color auto="1"/>
      </right>
      <top style="medium">
        <color auto="1"/>
      </top>
      <bottom/>
      <diagonal/>
    </border>
    <border>
      <left style="medium">
        <color indexed="64"/>
      </left>
      <right style="medium">
        <color indexed="64"/>
      </right>
      <top/>
      <bottom style="thin">
        <color auto="1"/>
      </bottom>
      <diagonal/>
    </border>
    <border>
      <left style="medium">
        <color rgb="FF00000A"/>
      </left>
      <right style="medium">
        <color rgb="FF00000A"/>
      </right>
      <top style="medium">
        <color rgb="FF00000A"/>
      </top>
      <bottom style="medium">
        <color rgb="FF00000A"/>
      </bottom>
      <diagonal/>
    </border>
    <border>
      <left style="medium">
        <color rgb="FF00000A"/>
      </left>
      <right style="medium">
        <color rgb="FF00000A"/>
      </right>
      <top/>
      <bottom style="medium">
        <color rgb="FF00000A"/>
      </bottom>
      <diagonal/>
    </border>
    <border>
      <left/>
      <right/>
      <top style="thin">
        <color theme="4"/>
      </top>
      <bottom/>
      <diagonal/>
    </border>
    <border>
      <left style="thin">
        <color rgb="FF000000"/>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s>
  <cellStyleXfs count="6">
    <xf numFmtId="0" fontId="0" fillId="0" borderId="0"/>
    <xf numFmtId="9" fontId="47" fillId="0" borderId="0" applyBorder="0" applyProtection="0"/>
    <xf numFmtId="0" fontId="38" fillId="0" borderId="0" applyBorder="0" applyProtection="0"/>
    <xf numFmtId="43" fontId="47" fillId="0" borderId="0" applyFont="0" applyFill="0" applyBorder="0" applyAlignment="0" applyProtection="0"/>
    <xf numFmtId="0" fontId="52" fillId="19" borderId="0" applyNumberFormat="0" applyBorder="0" applyAlignment="0" applyProtection="0"/>
    <xf numFmtId="44" fontId="47" fillId="0" borderId="0" applyFont="0" applyFill="0" applyBorder="0" applyAlignment="0" applyProtection="0"/>
  </cellStyleXfs>
  <cellXfs count="1094">
    <xf numFmtId="0" fontId="0" fillId="0" borderId="0" xfId="0"/>
    <xf numFmtId="2" fontId="0" fillId="0" borderId="0" xfId="0" applyNumberFormat="1"/>
    <xf numFmtId="0" fontId="1" fillId="0" borderId="0" xfId="0" applyFont="1" applyAlignment="1">
      <alignment vertical="top" wrapText="1"/>
    </xf>
    <xf numFmtId="0" fontId="3" fillId="2" borderId="2" xfId="0" applyFont="1" applyFill="1" applyBorder="1" applyAlignment="1">
      <alignment horizontal="left" vertical="top" wrapText="1"/>
    </xf>
    <xf numFmtId="0" fontId="3" fillId="2" borderId="2" xfId="0" applyFont="1" applyFill="1" applyBorder="1" applyAlignment="1">
      <alignment horizontal="center" wrapText="1"/>
    </xf>
    <xf numFmtId="0" fontId="3" fillId="2" borderId="1" xfId="0" applyFont="1" applyFill="1" applyBorder="1" applyAlignment="1">
      <alignment horizontal="center" wrapText="1"/>
    </xf>
    <xf numFmtId="0" fontId="4" fillId="0" borderId="0" xfId="0" applyFont="1" applyAlignment="1">
      <alignment horizontal="left" vertical="top" wrapText="1"/>
    </xf>
    <xf numFmtId="0" fontId="5" fillId="4" borderId="0" xfId="0" applyFont="1" applyFill="1"/>
    <xf numFmtId="164" fontId="5" fillId="4" borderId="0" xfId="0" applyNumberFormat="1" applyFont="1" applyFill="1"/>
    <xf numFmtId="0" fontId="6" fillId="4" borderId="0" xfId="0" applyFont="1" applyFill="1" applyAlignment="1">
      <alignment horizontal="center"/>
    </xf>
    <xf numFmtId="0" fontId="8" fillId="0" borderId="7" xfId="0" applyFont="1" applyBorder="1" applyAlignment="1">
      <alignment horizontal="left"/>
    </xf>
    <xf numFmtId="164" fontId="8" fillId="7" borderId="6" xfId="0" applyNumberFormat="1" applyFont="1" applyFill="1" applyBorder="1" applyAlignment="1">
      <alignment horizontal="center"/>
    </xf>
    <xf numFmtId="0" fontId="8" fillId="0" borderId="6" xfId="0" applyFont="1" applyBorder="1" applyAlignment="1">
      <alignment horizontal="left"/>
    </xf>
    <xf numFmtId="10" fontId="8" fillId="7" borderId="6" xfId="0" applyNumberFormat="1" applyFont="1" applyFill="1" applyBorder="1" applyAlignment="1">
      <alignment horizontal="right"/>
    </xf>
    <xf numFmtId="0" fontId="5" fillId="0" borderId="9" xfId="0" applyFont="1" applyBorder="1" applyAlignment="1">
      <alignment horizontal="left"/>
    </xf>
    <xf numFmtId="0" fontId="5" fillId="0" borderId="8" xfId="0" applyFont="1" applyBorder="1"/>
    <xf numFmtId="0" fontId="5" fillId="4" borderId="0" xfId="0" applyFont="1" applyFill="1" applyAlignment="1">
      <alignment wrapText="1"/>
    </xf>
    <xf numFmtId="0" fontId="8" fillId="7" borderId="6" xfId="0" applyFont="1" applyFill="1" applyBorder="1" applyAlignment="1">
      <alignment horizontal="right"/>
    </xf>
    <xf numFmtId="0" fontId="5" fillId="4" borderId="0" xfId="0" applyFont="1" applyFill="1" applyAlignment="1">
      <alignment horizontal="left"/>
    </xf>
    <xf numFmtId="0" fontId="5" fillId="0" borderId="9" xfId="0" applyFont="1" applyBorder="1"/>
    <xf numFmtId="0" fontId="8" fillId="4" borderId="0" xfId="0" applyFont="1" applyFill="1" applyAlignment="1">
      <alignment horizontal="left"/>
    </xf>
    <xf numFmtId="2" fontId="8" fillId="4" borderId="0" xfId="0" applyNumberFormat="1" applyFont="1" applyFill="1" applyAlignment="1">
      <alignment horizontal="center"/>
    </xf>
    <xf numFmtId="0" fontId="9" fillId="3" borderId="6" xfId="0" applyFont="1" applyFill="1" applyBorder="1" applyAlignment="1">
      <alignment wrapText="1"/>
    </xf>
    <xf numFmtId="164" fontId="9" fillId="3" borderId="6" xfId="0" applyNumberFormat="1" applyFont="1" applyFill="1" applyBorder="1" applyAlignment="1">
      <alignment wrapText="1"/>
    </xf>
    <xf numFmtId="164" fontId="9" fillId="3" borderId="6" xfId="0" applyNumberFormat="1" applyFont="1" applyFill="1" applyBorder="1" applyAlignment="1">
      <alignment horizontal="center" wrapText="1"/>
    </xf>
    <xf numFmtId="0" fontId="9" fillId="3" borderId="6" xfId="0" applyFont="1" applyFill="1" applyBorder="1" applyAlignment="1">
      <alignment horizontal="center" wrapText="1"/>
    </xf>
    <xf numFmtId="0" fontId="0" fillId="0" borderId="0" xfId="0" applyAlignment="1">
      <alignment wrapText="1"/>
    </xf>
    <xf numFmtId="0" fontId="5" fillId="0" borderId="6" xfId="0" applyFont="1" applyBorder="1" applyAlignment="1">
      <alignment horizontal="center"/>
    </xf>
    <xf numFmtId="164" fontId="5" fillId="0" borderId="6" xfId="0" applyNumberFormat="1" applyFont="1" applyBorder="1"/>
    <xf numFmtId="165" fontId="5" fillId="0" borderId="6" xfId="0" applyNumberFormat="1" applyFont="1" applyBorder="1" applyAlignment="1">
      <alignment horizontal="center"/>
    </xf>
    <xf numFmtId="165" fontId="5" fillId="0" borderId="6" xfId="0" applyNumberFormat="1" applyFont="1" applyBorder="1"/>
    <xf numFmtId="166" fontId="5" fillId="0" borderId="6" xfId="0" applyNumberFormat="1" applyFont="1" applyBorder="1"/>
    <xf numFmtId="167" fontId="5" fillId="0" borderId="6" xfId="0" applyNumberFormat="1" applyFont="1" applyBorder="1"/>
    <xf numFmtId="164" fontId="5" fillId="0" borderId="5" xfId="0" applyNumberFormat="1" applyFont="1" applyBorder="1"/>
    <xf numFmtId="0" fontId="10" fillId="0" borderId="6" xfId="0" applyFont="1" applyBorder="1" applyAlignment="1">
      <alignment horizontal="center"/>
    </xf>
    <xf numFmtId="0" fontId="10" fillId="0" borderId="10" xfId="0" applyFont="1" applyBorder="1" applyAlignment="1">
      <alignment horizontal="center"/>
    </xf>
    <xf numFmtId="164" fontId="10" fillId="0" borderId="10" xfId="0" applyNumberFormat="1" applyFont="1" applyBorder="1"/>
    <xf numFmtId="164" fontId="10" fillId="0" borderId="6" xfId="0" applyNumberFormat="1" applyFont="1" applyBorder="1"/>
    <xf numFmtId="166" fontId="10" fillId="0" borderId="6" xfId="0" applyNumberFormat="1" applyFont="1" applyBorder="1"/>
    <xf numFmtId="166" fontId="10" fillId="0" borderId="10" xfId="0" applyNumberFormat="1" applyFont="1" applyBorder="1"/>
    <xf numFmtId="0" fontId="5" fillId="0" borderId="5" xfId="0" applyFont="1" applyBorder="1" applyAlignment="1">
      <alignment horizontal="center"/>
    </xf>
    <xf numFmtId="166" fontId="5" fillId="0" borderId="5" xfId="0" applyNumberFormat="1" applyFont="1" applyBorder="1"/>
    <xf numFmtId="0" fontId="5" fillId="0" borderId="6" xfId="0" applyFont="1" applyBorder="1"/>
    <xf numFmtId="9" fontId="5" fillId="4" borderId="0" xfId="0" applyNumberFormat="1" applyFont="1" applyFill="1"/>
    <xf numFmtId="0" fontId="5" fillId="0" borderId="0" xfId="0" applyFont="1"/>
    <xf numFmtId="168" fontId="5" fillId="4" borderId="0" xfId="0" applyNumberFormat="1" applyFont="1" applyFill="1"/>
    <xf numFmtId="0" fontId="12" fillId="4" borderId="0" xfId="0" applyFont="1" applyFill="1"/>
    <xf numFmtId="0" fontId="12" fillId="4" borderId="0" xfId="0" applyFont="1" applyFill="1" applyAlignment="1">
      <alignment horizontal="center" vertical="top"/>
    </xf>
    <xf numFmtId="168" fontId="12" fillId="4" borderId="0" xfId="0" applyNumberFormat="1" applyFont="1" applyFill="1"/>
    <xf numFmtId="168" fontId="13" fillId="6" borderId="8" xfId="0" applyNumberFormat="1" applyFont="1" applyFill="1" applyBorder="1" applyAlignment="1">
      <alignment horizontal="center" vertical="center" wrapText="1"/>
    </xf>
    <xf numFmtId="0" fontId="8" fillId="8" borderId="5" xfId="0" applyFont="1" applyFill="1" applyBorder="1" applyAlignment="1">
      <alignment horizontal="center" vertical="center" wrapText="1"/>
    </xf>
    <xf numFmtId="168" fontId="8" fillId="8" borderId="5" xfId="0" applyNumberFormat="1" applyFont="1" applyFill="1" applyBorder="1" applyAlignment="1">
      <alignment horizontal="center" vertical="center" wrapText="1"/>
    </xf>
    <xf numFmtId="168" fontId="8" fillId="8" borderId="6" xfId="0" applyNumberFormat="1" applyFont="1" applyFill="1" applyBorder="1" applyAlignment="1">
      <alignment horizontal="center" vertical="center" wrapText="1"/>
    </xf>
    <xf numFmtId="0" fontId="8" fillId="8" borderId="6" xfId="0" applyFont="1" applyFill="1" applyBorder="1" applyAlignment="1">
      <alignment horizontal="center" vertical="center" wrapText="1"/>
    </xf>
    <xf numFmtId="168" fontId="8" fillId="8" borderId="7" xfId="0" applyNumberFormat="1" applyFont="1" applyFill="1" applyBorder="1" applyAlignment="1">
      <alignment horizontal="center" vertical="center" wrapText="1"/>
    </xf>
    <xf numFmtId="168" fontId="14" fillId="7" borderId="11" xfId="0" applyNumberFormat="1" applyFont="1" applyFill="1" applyBorder="1" applyAlignment="1">
      <alignment horizontal="center" vertical="center" wrapText="1"/>
    </xf>
    <xf numFmtId="10" fontId="14" fillId="7" borderId="12" xfId="0" applyNumberFormat="1" applyFont="1" applyFill="1" applyBorder="1" applyAlignment="1">
      <alignment horizontal="center" vertical="center" wrapText="1"/>
    </xf>
    <xf numFmtId="0" fontId="15" fillId="6" borderId="9" xfId="0" applyFont="1" applyFill="1" applyBorder="1"/>
    <xf numFmtId="0" fontId="15" fillId="6" borderId="13" xfId="0" applyFont="1" applyFill="1" applyBorder="1"/>
    <xf numFmtId="0" fontId="5" fillId="6" borderId="14" xfId="0" applyFont="1" applyFill="1" applyBorder="1"/>
    <xf numFmtId="0" fontId="0" fillId="0" borderId="6" xfId="0" applyBorder="1" applyAlignment="1">
      <alignment horizontal="left"/>
    </xf>
    <xf numFmtId="169" fontId="16" fillId="0" borderId="0" xfId="0" applyNumberFormat="1" applyFont="1"/>
    <xf numFmtId="168" fontId="0" fillId="0" borderId="0" xfId="0" applyNumberFormat="1" applyAlignment="1">
      <alignment horizontal="center"/>
    </xf>
    <xf numFmtId="3" fontId="5" fillId="0" borderId="15" xfId="0" applyNumberFormat="1" applyFont="1" applyBorder="1" applyAlignment="1">
      <alignment horizontal="center"/>
    </xf>
    <xf numFmtId="168" fontId="17" fillId="9" borderId="16" xfId="0" applyNumberFormat="1" applyFont="1" applyFill="1" applyBorder="1" applyAlignment="1">
      <alignment wrapText="1"/>
    </xf>
    <xf numFmtId="168" fontId="17" fillId="9" borderId="0" xfId="0" applyNumberFormat="1" applyFont="1" applyFill="1" applyAlignment="1">
      <alignment wrapText="1"/>
    </xf>
    <xf numFmtId="168" fontId="5" fillId="7" borderId="3" xfId="0" applyNumberFormat="1" applyFont="1" applyFill="1" applyBorder="1"/>
    <xf numFmtId="168" fontId="5" fillId="7" borderId="4" xfId="0" applyNumberFormat="1" applyFont="1" applyFill="1" applyBorder="1"/>
    <xf numFmtId="3" fontId="15" fillId="10" borderId="17" xfId="0" applyNumberFormat="1" applyFont="1" applyFill="1" applyBorder="1" applyAlignment="1">
      <alignment horizontal="center"/>
    </xf>
    <xf numFmtId="168" fontId="15" fillId="10" borderId="17" xfId="0" applyNumberFormat="1" applyFont="1" applyFill="1" applyBorder="1" applyAlignment="1">
      <alignment horizontal="center"/>
    </xf>
    <xf numFmtId="168" fontId="5" fillId="7" borderId="5" xfId="0" applyNumberFormat="1" applyFont="1" applyFill="1" applyBorder="1"/>
    <xf numFmtId="0" fontId="0" fillId="4" borderId="13" xfId="0" applyFill="1" applyBorder="1" applyAlignment="1">
      <alignment horizontal="left"/>
    </xf>
    <xf numFmtId="168" fontId="0" fillId="4" borderId="13" xfId="0" applyNumberFormat="1" applyFill="1" applyBorder="1" applyAlignment="1">
      <alignment horizontal="center"/>
    </xf>
    <xf numFmtId="3" fontId="5" fillId="4" borderId="13" xfId="0" applyNumberFormat="1" applyFont="1" applyFill="1" applyBorder="1" applyAlignment="1">
      <alignment horizontal="center"/>
    </xf>
    <xf numFmtId="168" fontId="17" fillId="4" borderId="13" xfId="0" applyNumberFormat="1" applyFont="1" applyFill="1" applyBorder="1" applyAlignment="1">
      <alignment wrapText="1"/>
    </xf>
    <xf numFmtId="0" fontId="5" fillId="4" borderId="13" xfId="0" applyFont="1" applyFill="1" applyBorder="1" applyAlignment="1">
      <alignment horizontal="center"/>
    </xf>
    <xf numFmtId="168" fontId="5" fillId="4" borderId="13" xfId="0" applyNumberFormat="1" applyFont="1" applyFill="1" applyBorder="1"/>
    <xf numFmtId="0" fontId="13" fillId="6" borderId="13" xfId="0" applyFont="1" applyFill="1" applyBorder="1"/>
    <xf numFmtId="168" fontId="5" fillId="6" borderId="14" xfId="0" applyNumberFormat="1" applyFont="1" applyFill="1" applyBorder="1"/>
    <xf numFmtId="0" fontId="9" fillId="10" borderId="13" xfId="0" applyFont="1" applyFill="1" applyBorder="1"/>
    <xf numFmtId="168" fontId="15" fillId="10" borderId="18" xfId="0" applyNumberFormat="1" applyFont="1" applyFill="1" applyBorder="1" applyAlignment="1">
      <alignment horizontal="center"/>
    </xf>
    <xf numFmtId="168" fontId="5" fillId="7" borderId="19" xfId="0" applyNumberFormat="1" applyFont="1" applyFill="1" applyBorder="1"/>
    <xf numFmtId="0" fontId="5" fillId="4" borderId="13" xfId="0" applyFont="1" applyFill="1" applyBorder="1"/>
    <xf numFmtId="168" fontId="17" fillId="4" borderId="9" xfId="0" applyNumberFormat="1" applyFont="1" applyFill="1" applyBorder="1" applyAlignment="1">
      <alignment wrapText="1"/>
    </xf>
    <xf numFmtId="168" fontId="5" fillId="4" borderId="9" xfId="0" applyNumberFormat="1" applyFont="1" applyFill="1" applyBorder="1"/>
    <xf numFmtId="0" fontId="13" fillId="6" borderId="9" xfId="0" applyFont="1" applyFill="1" applyBorder="1"/>
    <xf numFmtId="0" fontId="5" fillId="0" borderId="15" xfId="0" applyFont="1" applyBorder="1" applyAlignment="1">
      <alignment horizontal="center"/>
    </xf>
    <xf numFmtId="168" fontId="18" fillId="10" borderId="18" xfId="0" applyNumberFormat="1" applyFont="1" applyFill="1" applyBorder="1" applyAlignment="1">
      <alignment horizontal="center"/>
    </xf>
    <xf numFmtId="168" fontId="19" fillId="10" borderId="18" xfId="0" applyNumberFormat="1" applyFont="1" applyFill="1" applyBorder="1" applyAlignment="1">
      <alignment horizontal="center"/>
    </xf>
    <xf numFmtId="0" fontId="9" fillId="10" borderId="9" xfId="0" applyFont="1" applyFill="1" applyBorder="1"/>
    <xf numFmtId="168" fontId="9" fillId="10" borderId="9" xfId="0" applyNumberFormat="1" applyFont="1" applyFill="1" applyBorder="1" applyAlignment="1">
      <alignment horizontal="center"/>
    </xf>
    <xf numFmtId="3" fontId="15" fillId="10" borderId="20" xfId="0" applyNumberFormat="1" applyFont="1" applyFill="1" applyBorder="1" applyAlignment="1">
      <alignment horizontal="center"/>
    </xf>
    <xf numFmtId="168" fontId="15" fillId="10" borderId="20" xfId="0" applyNumberFormat="1" applyFont="1" applyFill="1" applyBorder="1" applyAlignment="1">
      <alignment horizontal="center"/>
    </xf>
    <xf numFmtId="168" fontId="5" fillId="7" borderId="6" xfId="0" applyNumberFormat="1" applyFont="1" applyFill="1" applyBorder="1"/>
    <xf numFmtId="0" fontId="9" fillId="10" borderId="0" xfId="0" applyFont="1" applyFill="1"/>
    <xf numFmtId="168" fontId="9" fillId="10" borderId="0" xfId="0" applyNumberFormat="1" applyFont="1" applyFill="1" applyAlignment="1">
      <alignment horizontal="center"/>
    </xf>
    <xf numFmtId="0" fontId="15" fillId="10" borderId="15" xfId="0" applyFont="1" applyFill="1" applyBorder="1" applyAlignment="1">
      <alignment horizontal="center"/>
    </xf>
    <xf numFmtId="168" fontId="15" fillId="10" borderId="0" xfId="0" applyNumberFormat="1" applyFont="1" applyFill="1" applyAlignment="1">
      <alignment horizontal="center"/>
    </xf>
    <xf numFmtId="0" fontId="15" fillId="4" borderId="0" xfId="0" applyFont="1" applyFill="1"/>
    <xf numFmtId="0" fontId="18" fillId="10" borderId="13" xfId="0" applyFont="1" applyFill="1" applyBorder="1"/>
    <xf numFmtId="168" fontId="9" fillId="10" borderId="13" xfId="0" applyNumberFormat="1" applyFont="1" applyFill="1" applyBorder="1"/>
    <xf numFmtId="3" fontId="15" fillId="10" borderId="21" xfId="0" applyNumberFormat="1" applyFont="1" applyFill="1" applyBorder="1" applyAlignment="1">
      <alignment horizontal="center"/>
    </xf>
    <xf numFmtId="168" fontId="20" fillId="10" borderId="13" xfId="0" applyNumberFormat="1" applyFont="1" applyFill="1" applyBorder="1"/>
    <xf numFmtId="0" fontId="0" fillId="0" borderId="0" xfId="0" applyAlignment="1">
      <alignment horizontal="right"/>
    </xf>
    <xf numFmtId="0" fontId="5" fillId="4" borderId="0" xfId="0" applyFont="1" applyFill="1" applyAlignment="1">
      <alignment horizontal="right"/>
    </xf>
    <xf numFmtId="0" fontId="7" fillId="4" borderId="0" xfId="0" applyFont="1" applyFill="1" applyAlignment="1">
      <alignment horizontal="center"/>
    </xf>
    <xf numFmtId="0" fontId="5" fillId="4" borderId="0" xfId="0" applyFont="1" applyFill="1" applyAlignment="1">
      <alignment horizontal="center"/>
    </xf>
    <xf numFmtId="0" fontId="23" fillId="4" borderId="0" xfId="0" applyFont="1" applyFill="1" applyAlignment="1">
      <alignment horizontal="center"/>
    </xf>
    <xf numFmtId="0" fontId="15" fillId="3" borderId="6" xfId="0" applyFont="1" applyFill="1" applyBorder="1" applyAlignment="1">
      <alignment horizontal="center"/>
    </xf>
    <xf numFmtId="0" fontId="8" fillId="6" borderId="6" xfId="0" applyFont="1" applyFill="1" applyBorder="1"/>
    <xf numFmtId="3" fontId="8" fillId="6" borderId="6" xfId="0" applyNumberFormat="1" applyFont="1" applyFill="1" applyBorder="1" applyAlignment="1">
      <alignment horizontal="center"/>
    </xf>
    <xf numFmtId="3" fontId="8" fillId="11" borderId="6" xfId="0" applyNumberFormat="1" applyFont="1" applyFill="1" applyBorder="1" applyAlignment="1">
      <alignment horizontal="center"/>
    </xf>
    <xf numFmtId="0" fontId="11" fillId="4" borderId="0" xfId="0" applyFont="1" applyFill="1"/>
    <xf numFmtId="0" fontId="11" fillId="4" borderId="0" xfId="0" applyFont="1" applyFill="1" applyAlignment="1">
      <alignment horizontal="right"/>
    </xf>
    <xf numFmtId="0" fontId="9" fillId="3" borderId="5" xfId="0" applyFont="1" applyFill="1" applyBorder="1" applyAlignment="1">
      <alignment horizontal="center"/>
    </xf>
    <xf numFmtId="0" fontId="9" fillId="0" borderId="5" xfId="0" applyFont="1" applyBorder="1" applyAlignment="1">
      <alignment horizontal="center"/>
    </xf>
    <xf numFmtId="0" fontId="8" fillId="6" borderId="6" xfId="0" applyFont="1" applyFill="1" applyBorder="1" applyAlignment="1">
      <alignment horizontal="center"/>
    </xf>
    <xf numFmtId="0" fontId="8" fillId="0" borderId="6" xfId="0" applyFont="1" applyBorder="1" applyAlignment="1">
      <alignment horizontal="center"/>
    </xf>
    <xf numFmtId="0" fontId="7" fillId="6" borderId="6" xfId="0" applyFont="1" applyFill="1" applyBorder="1" applyAlignment="1">
      <alignment horizontal="left"/>
    </xf>
    <xf numFmtId="0" fontId="8" fillId="4" borderId="0" xfId="0" applyFont="1" applyFill="1" applyAlignment="1">
      <alignment horizontal="center"/>
    </xf>
    <xf numFmtId="0" fontId="5" fillId="4" borderId="0" xfId="0" applyFont="1" applyFill="1" applyAlignment="1">
      <alignment horizontal="center" vertical="center"/>
    </xf>
    <xf numFmtId="0" fontId="15" fillId="4" borderId="0" xfId="0" applyFont="1" applyFill="1" applyAlignment="1">
      <alignment horizontal="right" vertical="center"/>
    </xf>
    <xf numFmtId="0" fontId="5" fillId="4" borderId="0" xfId="0" applyFont="1" applyFill="1" applyAlignment="1">
      <alignment horizontal="left" vertical="center"/>
    </xf>
    <xf numFmtId="0" fontId="5" fillId="4" borderId="22" xfId="0" applyFont="1" applyFill="1" applyBorder="1"/>
    <xf numFmtId="0" fontId="13" fillId="0" borderId="6" xfId="0" applyFont="1" applyBorder="1" applyAlignment="1">
      <alignment horizontal="left" vertical="center"/>
    </xf>
    <xf numFmtId="0" fontId="13" fillId="0" borderId="8" xfId="0" applyFont="1" applyBorder="1" applyAlignment="1">
      <alignment horizontal="left" vertical="center"/>
    </xf>
    <xf numFmtId="0" fontId="5" fillId="0" borderId="6" xfId="0" applyFont="1" applyBorder="1" applyAlignment="1">
      <alignment horizontal="right" vertical="center" wrapText="1"/>
    </xf>
    <xf numFmtId="0" fontId="5" fillId="0" borderId="6" xfId="0" applyFont="1" applyBorder="1" applyAlignment="1">
      <alignment horizontal="center" vertical="center" wrapText="1"/>
    </xf>
    <xf numFmtId="0" fontId="5" fillId="4" borderId="22" xfId="0" applyFont="1" applyFill="1" applyBorder="1" applyAlignment="1">
      <alignment horizontal="left" vertical="center"/>
    </xf>
    <xf numFmtId="0" fontId="5" fillId="4" borderId="22" xfId="0" applyFont="1" applyFill="1" applyBorder="1" applyAlignment="1">
      <alignment horizontal="right" vertical="center" wrapText="1"/>
    </xf>
    <xf numFmtId="0" fontId="5" fillId="4" borderId="22"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3" fillId="10" borderId="6" xfId="0" applyFont="1" applyFill="1" applyBorder="1" applyAlignment="1">
      <alignment horizontal="left"/>
    </xf>
    <xf numFmtId="0" fontId="26" fillId="10" borderId="22" xfId="0" applyFont="1" applyFill="1" applyBorder="1" applyAlignment="1">
      <alignment horizontal="left"/>
    </xf>
    <xf numFmtId="2" fontId="25" fillId="10" borderId="22" xfId="0" applyNumberFormat="1" applyFont="1" applyFill="1" applyBorder="1" applyAlignment="1">
      <alignment horizontal="right"/>
    </xf>
    <xf numFmtId="2" fontId="25" fillId="10" borderId="22" xfId="0" applyNumberFormat="1" applyFont="1" applyFill="1" applyBorder="1" applyAlignment="1">
      <alignment horizontal="center"/>
    </xf>
    <xf numFmtId="0" fontId="25" fillId="10" borderId="22" xfId="0" applyFont="1" applyFill="1" applyBorder="1" applyAlignment="1">
      <alignment horizontal="center"/>
    </xf>
    <xf numFmtId="0" fontId="25" fillId="10" borderId="13" xfId="0" applyFont="1" applyFill="1" applyBorder="1" applyAlignment="1">
      <alignment horizontal="center"/>
    </xf>
    <xf numFmtId="0" fontId="5" fillId="10" borderId="14" xfId="0" applyFont="1" applyFill="1" applyBorder="1" applyAlignment="1">
      <alignment horizontal="center"/>
    </xf>
    <xf numFmtId="0" fontId="27" fillId="0" borderId="6" xfId="0" applyFont="1" applyBorder="1" applyAlignment="1">
      <alignment horizontal="left" wrapText="1"/>
    </xf>
    <xf numFmtId="0" fontId="8" fillId="0" borderId="6" xfId="0" applyFont="1" applyBorder="1" applyAlignment="1">
      <alignment horizontal="right"/>
    </xf>
    <xf numFmtId="3" fontId="27" fillId="0" borderId="6" xfId="0" applyNumberFormat="1" applyFont="1" applyBorder="1" applyAlignment="1">
      <alignment horizontal="center" wrapText="1"/>
    </xf>
    <xf numFmtId="164" fontId="8" fillId="0" borderId="5" xfId="0" applyNumberFormat="1" applyFont="1" applyBorder="1" applyAlignment="1">
      <alignment horizontal="center"/>
    </xf>
    <xf numFmtId="164" fontId="8" fillId="0" borderId="6" xfId="0" applyNumberFormat="1" applyFont="1" applyBorder="1" applyAlignment="1">
      <alignment horizontal="center"/>
    </xf>
    <xf numFmtId="0" fontId="28" fillId="0" borderId="11" xfId="0" applyFont="1" applyBorder="1" applyAlignment="1">
      <alignment horizontal="left" wrapText="1"/>
    </xf>
    <xf numFmtId="0" fontId="27" fillId="4" borderId="0" xfId="0" applyFont="1" applyFill="1" applyAlignment="1">
      <alignment horizontal="left" wrapText="1"/>
    </xf>
    <xf numFmtId="0" fontId="8" fillId="4" borderId="0" xfId="0" applyFont="1" applyFill="1" applyAlignment="1">
      <alignment horizontal="right"/>
    </xf>
    <xf numFmtId="3" fontId="8" fillId="4" borderId="0" xfId="0" applyNumberFormat="1" applyFont="1" applyFill="1" applyAlignment="1">
      <alignment horizontal="center"/>
    </xf>
    <xf numFmtId="164" fontId="8" fillId="4" borderId="0" xfId="0" applyNumberFormat="1" applyFont="1" applyFill="1" applyAlignment="1">
      <alignment horizontal="center"/>
    </xf>
    <xf numFmtId="0" fontId="19" fillId="4" borderId="0" xfId="0" applyFont="1" applyFill="1" applyAlignment="1">
      <alignment horizontal="left" wrapText="1"/>
    </xf>
    <xf numFmtId="0" fontId="0" fillId="4" borderId="0" xfId="0" applyFill="1" applyAlignment="1">
      <alignment horizontal="left" wrapText="1"/>
    </xf>
    <xf numFmtId="3" fontId="5" fillId="4" borderId="0" xfId="0" applyNumberFormat="1" applyFont="1" applyFill="1" applyAlignment="1">
      <alignment horizontal="center"/>
    </xf>
    <xf numFmtId="164" fontId="5" fillId="4" borderId="0" xfId="0" applyNumberFormat="1" applyFont="1" applyFill="1" applyAlignment="1">
      <alignment horizontal="center"/>
    </xf>
    <xf numFmtId="0" fontId="5" fillId="10" borderId="22" xfId="0" applyFont="1" applyFill="1" applyBorder="1" applyAlignment="1">
      <alignment horizontal="right"/>
    </xf>
    <xf numFmtId="0" fontId="5" fillId="10" borderId="22" xfId="0" applyFont="1" applyFill="1" applyBorder="1" applyAlignment="1">
      <alignment horizontal="center"/>
    </xf>
    <xf numFmtId="164" fontId="5" fillId="10" borderId="22" xfId="0" applyNumberFormat="1" applyFont="1" applyFill="1" applyBorder="1" applyAlignment="1">
      <alignment horizontal="center"/>
    </xf>
    <xf numFmtId="164" fontId="5" fillId="10" borderId="23" xfId="0" applyNumberFormat="1" applyFont="1" applyFill="1" applyBorder="1" applyAlignment="1">
      <alignment horizontal="center"/>
    </xf>
    <xf numFmtId="170" fontId="8" fillId="0" borderId="6" xfId="0" applyNumberFormat="1" applyFont="1" applyBorder="1" applyAlignment="1">
      <alignment horizontal="center"/>
    </xf>
    <xf numFmtId="0" fontId="5" fillId="4" borderId="0" xfId="0" applyFont="1" applyFill="1" applyAlignment="1">
      <alignment horizontal="center" vertical="top" wrapText="1"/>
    </xf>
    <xf numFmtId="164" fontId="5" fillId="4" borderId="0" xfId="0" applyNumberFormat="1" applyFont="1" applyFill="1" applyAlignment="1">
      <alignment horizontal="center" vertical="top" wrapText="1"/>
    </xf>
    <xf numFmtId="164" fontId="5" fillId="10" borderId="8" xfId="0" applyNumberFormat="1" applyFont="1" applyFill="1" applyBorder="1" applyAlignment="1">
      <alignment horizontal="center"/>
    </xf>
    <xf numFmtId="0" fontId="27" fillId="0" borderId="3" xfId="0" applyFont="1" applyBorder="1" applyAlignment="1">
      <alignment horizontal="left" wrapText="1"/>
    </xf>
    <xf numFmtId="0" fontId="8" fillId="0" borderId="3" xfId="0" applyFont="1" applyBorder="1" applyAlignment="1">
      <alignment horizontal="right"/>
    </xf>
    <xf numFmtId="3" fontId="27" fillId="0" borderId="3" xfId="0" applyNumberFormat="1" applyFont="1" applyBorder="1" applyAlignment="1">
      <alignment horizontal="center" wrapText="1"/>
    </xf>
    <xf numFmtId="170" fontId="8" fillId="0" borderId="3" xfId="0" applyNumberFormat="1" applyFont="1" applyBorder="1" applyAlignment="1">
      <alignment horizontal="center"/>
    </xf>
    <xf numFmtId="164" fontId="8" fillId="0" borderId="3" xfId="0" applyNumberFormat="1" applyFont="1" applyBorder="1" applyAlignment="1">
      <alignment horizontal="center"/>
    </xf>
    <xf numFmtId="0" fontId="5" fillId="10" borderId="22" xfId="0" applyFont="1" applyFill="1" applyBorder="1"/>
    <xf numFmtId="0" fontId="5" fillId="10" borderId="23" xfId="0" applyFont="1" applyFill="1" applyBorder="1"/>
    <xf numFmtId="0" fontId="25" fillId="4" borderId="0" xfId="0" applyFont="1" applyFill="1" applyAlignment="1">
      <alignment horizontal="left"/>
    </xf>
    <xf numFmtId="0" fontId="8" fillId="6" borderId="6" xfId="0" applyFont="1" applyFill="1" applyBorder="1" applyAlignment="1">
      <alignment horizontal="right"/>
    </xf>
    <xf numFmtId="0" fontId="0" fillId="11" borderId="0" xfId="0" applyFill="1"/>
    <xf numFmtId="0" fontId="9" fillId="0" borderId="11" xfId="0" applyFont="1" applyBorder="1" applyAlignment="1">
      <alignment horizontal="left"/>
    </xf>
    <xf numFmtId="164" fontId="8" fillId="4" borderId="0" xfId="0" applyNumberFormat="1" applyFont="1" applyFill="1" applyAlignment="1">
      <alignment horizontal="right"/>
    </xf>
    <xf numFmtId="3" fontId="8" fillId="4" borderId="0" xfId="0" applyNumberFormat="1" applyFont="1" applyFill="1" applyAlignment="1">
      <alignment horizontal="center" vertical="center"/>
    </xf>
    <xf numFmtId="164" fontId="8" fillId="4" borderId="0" xfId="0" applyNumberFormat="1" applyFont="1" applyFill="1"/>
    <xf numFmtId="0" fontId="5" fillId="4" borderId="24" xfId="0" applyFont="1" applyFill="1" applyBorder="1" applyAlignment="1">
      <alignment horizontal="center"/>
    </xf>
    <xf numFmtId="164" fontId="5" fillId="4" borderId="24" xfId="0" applyNumberFormat="1" applyFont="1" applyFill="1" applyBorder="1" applyAlignment="1">
      <alignment horizontal="center"/>
    </xf>
    <xf numFmtId="0" fontId="18" fillId="0" borderId="11" xfId="0" applyFont="1" applyBorder="1" applyAlignment="1">
      <alignment horizontal="left" wrapText="1"/>
    </xf>
    <xf numFmtId="0" fontId="5" fillId="0" borderId="0" xfId="0" applyFont="1" applyAlignment="1">
      <alignment horizontal="right"/>
    </xf>
    <xf numFmtId="165" fontId="0" fillId="0" borderId="0" xfId="0" applyNumberFormat="1"/>
    <xf numFmtId="165" fontId="5" fillId="4" borderId="0" xfId="0" applyNumberFormat="1" applyFont="1" applyFill="1"/>
    <xf numFmtId="164" fontId="26" fillId="4" borderId="0" xfId="0" applyNumberFormat="1" applyFont="1" applyFill="1" applyAlignment="1">
      <alignment horizontal="center"/>
    </xf>
    <xf numFmtId="165" fontId="26" fillId="4" borderId="0" xfId="0" applyNumberFormat="1" applyFont="1" applyFill="1" applyAlignment="1">
      <alignment horizontal="center"/>
    </xf>
    <xf numFmtId="0" fontId="29" fillId="0" borderId="3" xfId="0" applyFont="1" applyBorder="1" applyAlignment="1">
      <alignment horizontal="left" vertical="center"/>
    </xf>
    <xf numFmtId="164" fontId="5" fillId="10" borderId="6" xfId="0" applyNumberFormat="1" applyFont="1" applyFill="1" applyBorder="1" applyAlignment="1">
      <alignment horizontal="left" vertical="center"/>
    </xf>
    <xf numFmtId="164" fontId="5" fillId="12" borderId="6" xfId="0" applyNumberFormat="1" applyFont="1" applyFill="1" applyBorder="1" applyAlignment="1">
      <alignment horizontal="left" vertical="center" wrapText="1"/>
    </xf>
    <xf numFmtId="164" fontId="5" fillId="13" borderId="6" xfId="0" applyNumberFormat="1" applyFont="1" applyFill="1" applyBorder="1" applyAlignment="1">
      <alignment horizontal="left" vertical="center" wrapText="1"/>
    </xf>
    <xf numFmtId="164" fontId="5" fillId="7" borderId="6" xfId="0" applyNumberFormat="1" applyFont="1" applyFill="1" applyBorder="1" applyAlignment="1">
      <alignment horizontal="center" vertical="center" wrapText="1"/>
    </xf>
    <xf numFmtId="165" fontId="0" fillId="8" borderId="6" xfId="0" applyNumberFormat="1" applyFill="1" applyBorder="1" applyAlignment="1">
      <alignment horizontal="left" wrapText="1"/>
    </xf>
    <xf numFmtId="164" fontId="5" fillId="0" borderId="6" xfId="0" applyNumberFormat="1" applyFont="1" applyBorder="1" applyAlignment="1">
      <alignment horizontal="center" vertical="center" wrapText="1"/>
    </xf>
    <xf numFmtId="164" fontId="5" fillId="10" borderId="6" xfId="0" applyNumberFormat="1" applyFont="1" applyFill="1" applyBorder="1" applyAlignment="1">
      <alignment horizontal="center" vertical="center" wrapText="1"/>
    </xf>
    <xf numFmtId="164" fontId="5" fillId="14" borderId="6" xfId="0" applyNumberFormat="1" applyFont="1" applyFill="1" applyBorder="1" applyAlignment="1">
      <alignment horizontal="center" vertical="center" wrapText="1"/>
    </xf>
    <xf numFmtId="164" fontId="5" fillId="8" borderId="6" xfId="0" applyNumberFormat="1" applyFont="1" applyFill="1" applyBorder="1" applyAlignment="1">
      <alignment horizontal="center" vertical="center" wrapText="1"/>
    </xf>
    <xf numFmtId="164" fontId="0" fillId="11" borderId="8" xfId="0" applyNumberFormat="1" applyFill="1" applyBorder="1" applyAlignment="1">
      <alignment wrapText="1"/>
    </xf>
    <xf numFmtId="4" fontId="0" fillId="12" borderId="6" xfId="0" applyNumberFormat="1" applyFill="1" applyBorder="1" applyAlignment="1">
      <alignment wrapText="1"/>
    </xf>
    <xf numFmtId="164" fontId="0" fillId="13" borderId="6" xfId="0" applyNumberFormat="1" applyFill="1" applyBorder="1" applyAlignment="1">
      <alignment wrapText="1"/>
    </xf>
    <xf numFmtId="164" fontId="0" fillId="7" borderId="6" xfId="0" applyNumberFormat="1" applyFill="1" applyBorder="1" applyAlignment="1">
      <alignment horizontal="left" wrapText="1"/>
    </xf>
    <xf numFmtId="164" fontId="0" fillId="0" borderId="0" xfId="0" applyNumberFormat="1" applyAlignment="1">
      <alignment wrapText="1"/>
    </xf>
    <xf numFmtId="164" fontId="5" fillId="10" borderId="6" xfId="0" applyNumberFormat="1" applyFont="1" applyFill="1" applyBorder="1" applyAlignment="1">
      <alignment horizontal="center"/>
    </xf>
    <xf numFmtId="4" fontId="5" fillId="12" borderId="6" xfId="0" applyNumberFormat="1" applyFont="1" applyFill="1" applyBorder="1" applyAlignment="1">
      <alignment horizontal="right"/>
    </xf>
    <xf numFmtId="164" fontId="5" fillId="13" borderId="6" xfId="0" applyNumberFormat="1" applyFont="1" applyFill="1" applyBorder="1" applyAlignment="1">
      <alignment horizontal="center"/>
    </xf>
    <xf numFmtId="164" fontId="5" fillId="14" borderId="6" xfId="0" applyNumberFormat="1" applyFont="1" applyFill="1" applyBorder="1" applyAlignment="1">
      <alignment horizontal="center"/>
    </xf>
    <xf numFmtId="164" fontId="5" fillId="7" borderId="6" xfId="0" applyNumberFormat="1" applyFont="1" applyFill="1" applyBorder="1" applyAlignment="1">
      <alignment horizontal="center"/>
    </xf>
    <xf numFmtId="4" fontId="5" fillId="8" borderId="6" xfId="0" applyNumberFormat="1" applyFont="1" applyFill="1" applyBorder="1" applyAlignment="1">
      <alignment horizontal="right"/>
    </xf>
    <xf numFmtId="164" fontId="0" fillId="0" borderId="6" xfId="0" applyNumberFormat="1" applyBorder="1" applyAlignment="1">
      <alignment horizontal="center" wrapText="1"/>
    </xf>
    <xf numFmtId="0" fontId="28" fillId="0" borderId="25" xfId="0" applyFont="1" applyBorder="1" applyAlignment="1">
      <alignment horizontal="left" wrapText="1"/>
    </xf>
    <xf numFmtId="164" fontId="19" fillId="4" borderId="0" xfId="0" applyNumberFormat="1" applyFont="1" applyFill="1" applyAlignment="1">
      <alignment horizontal="center" wrapText="1"/>
    </xf>
    <xf numFmtId="164" fontId="19" fillId="4" borderId="0" xfId="0" applyNumberFormat="1" applyFont="1" applyFill="1" applyAlignment="1">
      <alignment wrapText="1"/>
    </xf>
    <xf numFmtId="164" fontId="0" fillId="4" borderId="0" xfId="0" applyNumberFormat="1" applyFill="1" applyAlignment="1">
      <alignment horizontal="left" wrapText="1"/>
    </xf>
    <xf numFmtId="165" fontId="0" fillId="4" borderId="0" xfId="0" applyNumberFormat="1" applyFill="1" applyAlignment="1">
      <alignment horizontal="left" wrapText="1"/>
    </xf>
    <xf numFmtId="164" fontId="15" fillId="6" borderId="5" xfId="0" applyNumberFormat="1" applyFont="1" applyFill="1" applyBorder="1"/>
    <xf numFmtId="164" fontId="15" fillId="10" borderId="5" xfId="0" applyNumberFormat="1" applyFont="1" applyFill="1" applyBorder="1" applyAlignment="1">
      <alignment horizontal="center"/>
    </xf>
    <xf numFmtId="4" fontId="15" fillId="12" borderId="5" xfId="0" applyNumberFormat="1" applyFont="1" applyFill="1" applyBorder="1" applyAlignment="1">
      <alignment horizontal="right"/>
    </xf>
    <xf numFmtId="164" fontId="15" fillId="13" borderId="5" xfId="0" applyNumberFormat="1" applyFont="1" applyFill="1" applyBorder="1" applyAlignment="1">
      <alignment horizontal="center"/>
    </xf>
    <xf numFmtId="164" fontId="15" fillId="14" borderId="5" xfId="0" applyNumberFormat="1" applyFont="1" applyFill="1" applyBorder="1" applyAlignment="1">
      <alignment horizontal="center"/>
    </xf>
    <xf numFmtId="164" fontId="15" fillId="7" borderId="5" xfId="0" applyNumberFormat="1" applyFont="1" applyFill="1" applyBorder="1" applyAlignment="1">
      <alignment horizontal="center"/>
    </xf>
    <xf numFmtId="4" fontId="15" fillId="8" borderId="5" xfId="0" applyNumberFormat="1" applyFont="1" applyFill="1" applyBorder="1" applyAlignment="1">
      <alignment horizontal="right"/>
    </xf>
    <xf numFmtId="164" fontId="15" fillId="0" borderId="5" xfId="0" applyNumberFormat="1" applyFont="1" applyBorder="1"/>
    <xf numFmtId="164" fontId="15" fillId="0" borderId="5" xfId="0" applyNumberFormat="1" applyFont="1" applyBorder="1" applyAlignment="1">
      <alignment horizontal="center"/>
    </xf>
    <xf numFmtId="0" fontId="28" fillId="4" borderId="0" xfId="0" applyFont="1" applyFill="1" applyAlignment="1">
      <alignment horizontal="left" wrapText="1"/>
    </xf>
    <xf numFmtId="164" fontId="15" fillId="4" borderId="0" xfId="0" applyNumberFormat="1" applyFont="1" applyFill="1"/>
    <xf numFmtId="164" fontId="15" fillId="4" borderId="0" xfId="0" applyNumberFormat="1" applyFont="1" applyFill="1" applyAlignment="1">
      <alignment horizontal="center"/>
    </xf>
    <xf numFmtId="164" fontId="15" fillId="4" borderId="0" xfId="0" applyNumberFormat="1" applyFont="1" applyFill="1" applyAlignment="1">
      <alignment horizontal="right"/>
    </xf>
    <xf numFmtId="4" fontId="15" fillId="4" borderId="0" xfId="0" applyNumberFormat="1" applyFont="1" applyFill="1" applyAlignment="1">
      <alignment horizontal="right"/>
    </xf>
    <xf numFmtId="164" fontId="5" fillId="4" borderId="0" xfId="0" applyNumberFormat="1" applyFont="1" applyFill="1" applyAlignment="1">
      <alignment horizontal="right"/>
    </xf>
    <xf numFmtId="4" fontId="5" fillId="4" borderId="0" xfId="0" applyNumberFormat="1" applyFont="1" applyFill="1" applyAlignment="1">
      <alignment horizontal="right"/>
    </xf>
    <xf numFmtId="164" fontId="0" fillId="11" borderId="6" xfId="0" applyNumberFormat="1" applyFill="1" applyBorder="1" applyAlignment="1">
      <alignment horizontal="center" wrapText="1"/>
    </xf>
    <xf numFmtId="164" fontId="0" fillId="0" borderId="6" xfId="0" applyNumberFormat="1" applyBorder="1" applyAlignment="1">
      <alignment wrapText="1"/>
    </xf>
    <xf numFmtId="164" fontId="19" fillId="11" borderId="0" xfId="0" applyNumberFormat="1" applyFont="1" applyFill="1" applyAlignment="1">
      <alignment horizontal="center" wrapText="1"/>
    </xf>
    <xf numFmtId="164" fontId="0" fillId="11" borderId="3" xfId="0" applyNumberFormat="1" applyFill="1" applyBorder="1" applyAlignment="1">
      <alignment horizontal="center" wrapText="1"/>
    </xf>
    <xf numFmtId="164" fontId="5" fillId="11" borderId="0" xfId="0" applyNumberFormat="1" applyFont="1" applyFill="1" applyAlignment="1">
      <alignment horizontal="center"/>
    </xf>
    <xf numFmtId="164" fontId="0" fillId="11" borderId="6" xfId="0" applyNumberFormat="1" applyFill="1" applyBorder="1" applyAlignment="1">
      <alignment horizontal="right" wrapText="1"/>
    </xf>
    <xf numFmtId="164" fontId="5" fillId="11" borderId="6" xfId="0" applyNumberFormat="1" applyFont="1" applyFill="1" applyBorder="1" applyAlignment="1">
      <alignment horizontal="right" wrapText="1"/>
    </xf>
    <xf numFmtId="0" fontId="29" fillId="0" borderId="25" xfId="0" applyFont="1" applyBorder="1" applyAlignment="1">
      <alignment horizontal="left"/>
    </xf>
    <xf numFmtId="164" fontId="15" fillId="4" borderId="0" xfId="0" applyNumberFormat="1" applyFont="1" applyFill="1" applyAlignment="1">
      <alignment horizontal="left"/>
    </xf>
    <xf numFmtId="165" fontId="15" fillId="4" borderId="0" xfId="0" applyNumberFormat="1" applyFont="1" applyFill="1" applyAlignment="1">
      <alignment horizontal="left"/>
    </xf>
    <xf numFmtId="164" fontId="15" fillId="6" borderId="19" xfId="0" applyNumberFormat="1" applyFont="1" applyFill="1" applyBorder="1" applyAlignment="1">
      <alignment vertical="center"/>
    </xf>
    <xf numFmtId="164" fontId="15" fillId="10" borderId="19" xfId="0" applyNumberFormat="1" applyFont="1" applyFill="1" applyBorder="1" applyAlignment="1">
      <alignment horizontal="center" vertical="center"/>
    </xf>
    <xf numFmtId="4" fontId="15" fillId="12" borderId="5" xfId="0" applyNumberFormat="1" applyFont="1" applyFill="1" applyBorder="1" applyAlignment="1">
      <alignment horizontal="right" vertical="center"/>
    </xf>
    <xf numFmtId="164" fontId="15" fillId="13" borderId="5" xfId="0" applyNumberFormat="1" applyFont="1" applyFill="1" applyBorder="1" applyAlignment="1">
      <alignment horizontal="center" vertical="center"/>
    </xf>
    <xf numFmtId="164" fontId="15" fillId="14" borderId="5" xfId="0" applyNumberFormat="1" applyFont="1" applyFill="1" applyBorder="1" applyAlignment="1">
      <alignment horizontal="center" vertical="center"/>
    </xf>
    <xf numFmtId="164" fontId="15" fillId="7" borderId="5" xfId="0" applyNumberFormat="1" applyFont="1" applyFill="1" applyBorder="1" applyAlignment="1">
      <alignment horizontal="center" vertical="center"/>
    </xf>
    <xf numFmtId="4" fontId="15" fillId="8" borderId="5" xfId="0" applyNumberFormat="1" applyFont="1" applyFill="1" applyBorder="1" applyAlignment="1">
      <alignment horizontal="right" vertical="center"/>
    </xf>
    <xf numFmtId="164" fontId="15" fillId="10" borderId="5" xfId="0" applyNumberFormat="1" applyFont="1" applyFill="1" applyBorder="1" applyAlignment="1">
      <alignment horizontal="center" vertical="center"/>
    </xf>
    <xf numFmtId="164" fontId="5" fillId="4" borderId="24" xfId="0" applyNumberFormat="1" applyFont="1" applyFill="1" applyBorder="1" applyAlignment="1">
      <alignment horizontal="left"/>
    </xf>
    <xf numFmtId="165" fontId="5" fillId="4" borderId="24" xfId="0" applyNumberFormat="1" applyFont="1" applyFill="1" applyBorder="1" applyAlignment="1">
      <alignment horizontal="left"/>
    </xf>
    <xf numFmtId="164" fontId="5" fillId="4" borderId="24" xfId="0" applyNumberFormat="1" applyFont="1" applyFill="1" applyBorder="1"/>
    <xf numFmtId="164" fontId="19" fillId="4" borderId="0" xfId="0" applyNumberFormat="1" applyFont="1" applyFill="1" applyAlignment="1">
      <alignment horizontal="left" wrapText="1"/>
    </xf>
    <xf numFmtId="165" fontId="19" fillId="4" borderId="0" xfId="0" applyNumberFormat="1" applyFont="1" applyFill="1" applyAlignment="1">
      <alignment horizontal="left" wrapText="1"/>
    </xf>
    <xf numFmtId="164" fontId="15" fillId="6" borderId="19" xfId="0" applyNumberFormat="1" applyFont="1" applyFill="1" applyBorder="1"/>
    <xf numFmtId="164" fontId="15" fillId="10" borderId="19" xfId="0" applyNumberFormat="1" applyFont="1" applyFill="1" applyBorder="1" applyAlignment="1">
      <alignment horizontal="center"/>
    </xf>
    <xf numFmtId="164" fontId="15" fillId="12" borderId="5" xfId="0" applyNumberFormat="1" applyFont="1" applyFill="1" applyBorder="1" applyAlignment="1">
      <alignment horizontal="right"/>
    </xf>
    <xf numFmtId="164" fontId="15" fillId="8" borderId="5" xfId="0" applyNumberFormat="1" applyFont="1" applyFill="1" applyBorder="1" applyAlignment="1">
      <alignment horizontal="right"/>
    </xf>
    <xf numFmtId="4" fontId="15" fillId="8" borderId="5" xfId="0" applyNumberFormat="1" applyFont="1" applyFill="1" applyBorder="1" applyAlignment="1">
      <alignment horizontal="center"/>
    </xf>
    <xf numFmtId="164" fontId="5" fillId="4" borderId="0" xfId="0" applyNumberFormat="1" applyFont="1" applyFill="1" applyAlignment="1">
      <alignment horizontal="left"/>
    </xf>
    <xf numFmtId="165" fontId="5" fillId="4" borderId="0" xfId="0" applyNumberFormat="1" applyFont="1" applyFill="1" applyAlignment="1">
      <alignment horizontal="left"/>
    </xf>
    <xf numFmtId="0" fontId="29" fillId="4" borderId="24" xfId="0" applyFont="1" applyFill="1" applyBorder="1" applyAlignment="1">
      <alignment horizontal="left"/>
    </xf>
    <xf numFmtId="164" fontId="5" fillId="6" borderId="9" xfId="0" applyNumberFormat="1" applyFont="1" applyFill="1" applyBorder="1"/>
    <xf numFmtId="165" fontId="5" fillId="6" borderId="9" xfId="0" applyNumberFormat="1" applyFont="1" applyFill="1" applyBorder="1"/>
    <xf numFmtId="164" fontId="5" fillId="6" borderId="6" xfId="0" applyNumberFormat="1" applyFont="1" applyFill="1" applyBorder="1"/>
    <xf numFmtId="164" fontId="5" fillId="10" borderId="8" xfId="0" applyNumberFormat="1" applyFont="1" applyFill="1" applyBorder="1"/>
    <xf numFmtId="164" fontId="5" fillId="12" borderId="0" xfId="0" applyNumberFormat="1" applyFont="1" applyFill="1"/>
    <xf numFmtId="164" fontId="5" fillId="13" borderId="0" xfId="0" applyNumberFormat="1" applyFont="1" applyFill="1"/>
    <xf numFmtId="164" fontId="5" fillId="14" borderId="0" xfId="0" applyNumberFormat="1" applyFont="1" applyFill="1" applyAlignment="1">
      <alignment horizontal="center"/>
    </xf>
    <xf numFmtId="164" fontId="5" fillId="7" borderId="0" xfId="0" applyNumberFormat="1" applyFont="1" applyFill="1" applyAlignment="1">
      <alignment horizontal="center"/>
    </xf>
    <xf numFmtId="164" fontId="5" fillId="8" borderId="0" xfId="0" applyNumberFormat="1" applyFont="1" applyFill="1" applyAlignment="1">
      <alignment horizontal="center"/>
    </xf>
    <xf numFmtId="164" fontId="5" fillId="6" borderId="0" xfId="0" applyNumberFormat="1" applyFont="1" applyFill="1"/>
    <xf numFmtId="164" fontId="5" fillId="0" borderId="0" xfId="0" applyNumberFormat="1" applyFont="1"/>
    <xf numFmtId="165" fontId="5" fillId="6" borderId="22" xfId="0" applyNumberFormat="1" applyFont="1" applyFill="1" applyBorder="1"/>
    <xf numFmtId="164" fontId="5" fillId="6" borderId="3" xfId="0" applyNumberFormat="1" applyFont="1" applyFill="1" applyBorder="1"/>
    <xf numFmtId="164" fontId="5" fillId="10" borderId="26" xfId="0" applyNumberFormat="1" applyFont="1" applyFill="1" applyBorder="1"/>
    <xf numFmtId="164" fontId="5" fillId="6" borderId="24" xfId="0" applyNumberFormat="1" applyFont="1" applyFill="1" applyBorder="1"/>
    <xf numFmtId="165" fontId="5" fillId="6" borderId="27" xfId="0" applyNumberFormat="1" applyFont="1" applyFill="1" applyBorder="1"/>
    <xf numFmtId="164" fontId="5" fillId="6" borderId="10" xfId="0" applyNumberFormat="1" applyFont="1" applyFill="1" applyBorder="1"/>
    <xf numFmtId="164" fontId="5" fillId="10" borderId="10" xfId="0" applyNumberFormat="1" applyFont="1" applyFill="1" applyBorder="1"/>
    <xf numFmtId="164" fontId="5" fillId="12" borderId="24" xfId="0" applyNumberFormat="1" applyFont="1" applyFill="1" applyBorder="1"/>
    <xf numFmtId="164" fontId="5" fillId="13" borderId="24" xfId="0" applyNumberFormat="1" applyFont="1" applyFill="1" applyBorder="1"/>
    <xf numFmtId="164" fontId="5" fillId="14" borderId="24" xfId="0" applyNumberFormat="1" applyFont="1" applyFill="1" applyBorder="1" applyAlignment="1">
      <alignment horizontal="center"/>
    </xf>
    <xf numFmtId="164" fontId="5" fillId="7" borderId="24" xfId="0" applyNumberFormat="1" applyFont="1" applyFill="1" applyBorder="1" applyAlignment="1">
      <alignment horizontal="center"/>
    </xf>
    <xf numFmtId="164" fontId="5" fillId="8" borderId="24" xfId="0" applyNumberFormat="1" applyFont="1" applyFill="1" applyBorder="1" applyAlignment="1">
      <alignment horizontal="center"/>
    </xf>
    <xf numFmtId="164" fontId="5" fillId="0" borderId="24" xfId="0" applyNumberFormat="1" applyFont="1" applyBorder="1"/>
    <xf numFmtId="0" fontId="29" fillId="0" borderId="11" xfId="0" applyFont="1" applyBorder="1"/>
    <xf numFmtId="165" fontId="15" fillId="4" borderId="0" xfId="0" applyNumberFormat="1" applyFont="1" applyFill="1"/>
    <xf numFmtId="164" fontId="15" fillId="10" borderId="19" xfId="0" applyNumberFormat="1" applyFont="1" applyFill="1" applyBorder="1"/>
    <xf numFmtId="164" fontId="15" fillId="12" borderId="5" xfId="0" applyNumberFormat="1" applyFont="1" applyFill="1" applyBorder="1"/>
    <xf numFmtId="164" fontId="15" fillId="13" borderId="5" xfId="0" applyNumberFormat="1" applyFont="1" applyFill="1" applyBorder="1"/>
    <xf numFmtId="164" fontId="5" fillId="14" borderId="5" xfId="0" applyNumberFormat="1" applyFont="1" applyFill="1" applyBorder="1" applyAlignment="1">
      <alignment horizontal="center"/>
    </xf>
    <xf numFmtId="164" fontId="5" fillId="7" borderId="5" xfId="0" applyNumberFormat="1" applyFont="1" applyFill="1" applyBorder="1" applyAlignment="1">
      <alignment horizontal="center"/>
    </xf>
    <xf numFmtId="164" fontId="5" fillId="8" borderId="5" xfId="0" applyNumberFormat="1" applyFont="1" applyFill="1" applyBorder="1" applyAlignment="1">
      <alignment horizontal="center"/>
    </xf>
    <xf numFmtId="164" fontId="15" fillId="10" borderId="5" xfId="0" applyNumberFormat="1" applyFont="1" applyFill="1" applyBorder="1"/>
    <xf numFmtId="0" fontId="5" fillId="4" borderId="24" xfId="0" applyFont="1" applyFill="1" applyBorder="1"/>
    <xf numFmtId="165" fontId="5" fillId="4" borderId="24" xfId="0" applyNumberFormat="1" applyFont="1" applyFill="1" applyBorder="1"/>
    <xf numFmtId="0" fontId="13" fillId="4" borderId="0" xfId="0" applyFont="1" applyFill="1"/>
    <xf numFmtId="0" fontId="7" fillId="4" borderId="0" xfId="0" applyFont="1" applyFill="1" applyAlignment="1">
      <alignment horizontal="left"/>
    </xf>
    <xf numFmtId="0" fontId="31" fillId="4" borderId="0" xfId="0" applyFont="1" applyFill="1" applyAlignment="1">
      <alignment horizontal="center"/>
    </xf>
    <xf numFmtId="0" fontId="33" fillId="6" borderId="30" xfId="0" applyFont="1" applyFill="1" applyBorder="1" applyAlignment="1">
      <alignment horizontal="center"/>
    </xf>
    <xf numFmtId="0" fontId="5" fillId="4" borderId="32" xfId="0" applyFont="1" applyFill="1" applyBorder="1"/>
    <xf numFmtId="0" fontId="21" fillId="3" borderId="5" xfId="0" applyFont="1" applyFill="1" applyBorder="1" applyAlignment="1">
      <alignment wrapText="1"/>
    </xf>
    <xf numFmtId="0" fontId="15" fillId="3" borderId="5" xfId="0" applyFont="1" applyFill="1" applyBorder="1" applyAlignment="1">
      <alignment horizontal="center" wrapText="1"/>
    </xf>
    <xf numFmtId="0" fontId="15" fillId="3" borderId="5" xfId="0" applyFont="1" applyFill="1" applyBorder="1" applyAlignment="1">
      <alignment wrapText="1"/>
    </xf>
    <xf numFmtId="0" fontId="21" fillId="3" borderId="19" xfId="0" applyFont="1" applyFill="1" applyBorder="1" applyAlignment="1">
      <alignment wrapText="1"/>
    </xf>
    <xf numFmtId="0" fontId="8" fillId="0" borderId="6" xfId="0" applyFont="1" applyBorder="1"/>
    <xf numFmtId="3" fontId="8" fillId="0" borderId="6" xfId="0" applyNumberFormat="1" applyFont="1" applyBorder="1" applyAlignment="1">
      <alignment horizontal="center"/>
    </xf>
    <xf numFmtId="4" fontId="8" fillId="10" borderId="6" xfId="0" applyNumberFormat="1" applyFont="1" applyFill="1" applyBorder="1" applyAlignment="1">
      <alignment horizontal="center"/>
    </xf>
    <xf numFmtId="4" fontId="5" fillId="4" borderId="0" xfId="0" applyNumberFormat="1" applyFont="1" applyFill="1" applyAlignment="1">
      <alignment horizontal="center"/>
    </xf>
    <xf numFmtId="171" fontId="5" fillId="4" borderId="0" xfId="0" applyNumberFormat="1" applyFont="1" applyFill="1" applyAlignment="1">
      <alignment horizontal="center"/>
    </xf>
    <xf numFmtId="0" fontId="15" fillId="3" borderId="5" xfId="0" applyFont="1" applyFill="1" applyBorder="1"/>
    <xf numFmtId="0" fontId="15" fillId="3" borderId="5" xfId="0" applyFont="1" applyFill="1" applyBorder="1" applyAlignment="1">
      <alignment horizontal="center"/>
    </xf>
    <xf numFmtId="4" fontId="8" fillId="0" borderId="6" xfId="0" applyNumberFormat="1" applyFont="1" applyBorder="1" applyAlignment="1">
      <alignment horizontal="center"/>
    </xf>
    <xf numFmtId="4" fontId="5" fillId="4" borderId="0" xfId="0" applyNumberFormat="1" applyFont="1" applyFill="1"/>
    <xf numFmtId="0" fontId="33" fillId="6" borderId="33" xfId="0" applyFont="1" applyFill="1" applyBorder="1" applyAlignment="1">
      <alignment horizontal="center"/>
    </xf>
    <xf numFmtId="4" fontId="8" fillId="10" borderId="6" xfId="0" applyNumberFormat="1" applyFont="1" applyFill="1" applyBorder="1"/>
    <xf numFmtId="0" fontId="34" fillId="4" borderId="0" xfId="0" applyFont="1" applyFill="1" applyAlignment="1">
      <alignment horizontal="center"/>
    </xf>
    <xf numFmtId="0" fontId="15" fillId="3" borderId="6" xfId="0" applyFont="1" applyFill="1" applyBorder="1"/>
    <xf numFmtId="4" fontId="15" fillId="0" borderId="6" xfId="0" applyNumberFormat="1" applyFont="1" applyBorder="1" applyAlignment="1">
      <alignment horizontal="center"/>
    </xf>
    <xf numFmtId="172" fontId="5" fillId="0" borderId="6" xfId="0" applyNumberFormat="1" applyFont="1" applyBorder="1" applyAlignment="1">
      <alignment horizontal="center"/>
    </xf>
    <xf numFmtId="173" fontId="5" fillId="4" borderId="0" xfId="0" applyNumberFormat="1" applyFont="1" applyFill="1"/>
    <xf numFmtId="0" fontId="29" fillId="3" borderId="6" xfId="0" applyFont="1" applyFill="1" applyBorder="1"/>
    <xf numFmtId="164" fontId="5" fillId="9" borderId="6" xfId="0" applyNumberFormat="1" applyFont="1" applyFill="1" applyBorder="1"/>
    <xf numFmtId="0" fontId="15" fillId="14" borderId="6" xfId="0" applyFont="1" applyFill="1" applyBorder="1"/>
    <xf numFmtId="164" fontId="8" fillId="0" borderId="6" xfId="0" applyNumberFormat="1" applyFont="1" applyBorder="1"/>
    <xf numFmtId="174" fontId="8" fillId="0" borderId="6" xfId="0" applyNumberFormat="1" applyFont="1" applyBorder="1" applyAlignment="1">
      <alignment horizontal="center"/>
    </xf>
    <xf numFmtId="165" fontId="8" fillId="9" borderId="6" xfId="0" applyNumberFormat="1" applyFont="1" applyFill="1" applyBorder="1" applyAlignment="1">
      <alignment horizontal="center"/>
    </xf>
    <xf numFmtId="0" fontId="8" fillId="0" borderId="10" xfId="0" applyFont="1" applyBorder="1" applyAlignment="1">
      <alignment horizontal="center"/>
    </xf>
    <xf numFmtId="0" fontId="8" fillId="4" borderId="0" xfId="0" applyFont="1" applyFill="1"/>
    <xf numFmtId="173" fontId="8" fillId="4" borderId="0" xfId="0" applyNumberFormat="1" applyFont="1" applyFill="1" applyAlignment="1">
      <alignment horizontal="center"/>
    </xf>
    <xf numFmtId="165" fontId="8" fillId="4" borderId="0" xfId="0" applyNumberFormat="1" applyFont="1" applyFill="1" applyAlignment="1">
      <alignment horizontal="center"/>
    </xf>
    <xf numFmtId="0" fontId="29" fillId="4" borderId="0" xfId="0" applyFont="1" applyFill="1" applyAlignment="1">
      <alignment horizontal="center"/>
    </xf>
    <xf numFmtId="0" fontId="21" fillId="3" borderId="6" xfId="0" applyFont="1" applyFill="1" applyBorder="1"/>
    <xf numFmtId="0" fontId="21" fillId="3" borderId="6" xfId="0" applyFont="1" applyFill="1" applyBorder="1" applyAlignment="1">
      <alignment wrapText="1"/>
    </xf>
    <xf numFmtId="0" fontId="5" fillId="6" borderId="6" xfId="0" applyFont="1" applyFill="1" applyBorder="1"/>
    <xf numFmtId="3" fontId="5" fillId="11" borderId="6" xfId="0" applyNumberFormat="1" applyFont="1" applyFill="1" applyBorder="1"/>
    <xf numFmtId="4" fontId="5" fillId="11" borderId="6" xfId="0" applyNumberFormat="1" applyFont="1" applyFill="1" applyBorder="1" applyAlignment="1">
      <alignment horizontal="center"/>
    </xf>
    <xf numFmtId="2" fontId="5" fillId="7" borderId="6" xfId="0" applyNumberFormat="1" applyFont="1" applyFill="1" applyBorder="1" applyAlignment="1">
      <alignment horizontal="center"/>
    </xf>
    <xf numFmtId="165" fontId="5" fillId="6" borderId="6" xfId="0" applyNumberFormat="1" applyFont="1" applyFill="1" applyBorder="1"/>
    <xf numFmtId="175" fontId="5" fillId="4" borderId="0" xfId="0" applyNumberFormat="1" applyFont="1" applyFill="1"/>
    <xf numFmtId="0" fontId="21" fillId="3" borderId="6" xfId="0" applyFont="1" applyFill="1" applyBorder="1" applyAlignment="1">
      <alignment horizontal="center"/>
    </xf>
    <xf numFmtId="176" fontId="5" fillId="0" borderId="6" xfId="0" applyNumberFormat="1" applyFont="1" applyBorder="1" applyAlignment="1">
      <alignment horizontal="right"/>
    </xf>
    <xf numFmtId="177" fontId="5" fillId="0" borderId="6" xfId="0" applyNumberFormat="1" applyFont="1" applyBorder="1" applyAlignment="1">
      <alignment horizontal="right"/>
    </xf>
    <xf numFmtId="0" fontId="13" fillId="6" borderId="30" xfId="0" applyFont="1" applyFill="1" applyBorder="1" applyAlignment="1">
      <alignment horizontal="center"/>
    </xf>
    <xf numFmtId="0" fontId="5" fillId="4" borderId="34" xfId="0" applyFont="1" applyFill="1" applyBorder="1"/>
    <xf numFmtId="0" fontId="9" fillId="3" borderId="5" xfId="0" applyFont="1" applyFill="1" applyBorder="1"/>
    <xf numFmtId="4" fontId="8" fillId="6" borderId="6" xfId="0" applyNumberFormat="1" applyFont="1" applyFill="1" applyBorder="1" applyAlignment="1">
      <alignment horizontal="center"/>
    </xf>
    <xf numFmtId="2" fontId="8" fillId="0" borderId="6" xfId="0" applyNumberFormat="1" applyFont="1" applyBorder="1" applyAlignment="1">
      <alignment horizontal="center"/>
    </xf>
    <xf numFmtId="4" fontId="8" fillId="0" borderId="6" xfId="0" applyNumberFormat="1" applyFont="1" applyBorder="1"/>
    <xf numFmtId="2" fontId="5" fillId="4" borderId="0" xfId="0" applyNumberFormat="1" applyFont="1" applyFill="1"/>
    <xf numFmtId="0" fontId="5" fillId="3" borderId="5" xfId="0" applyFont="1" applyFill="1" applyBorder="1"/>
    <xf numFmtId="0" fontId="13" fillId="6" borderId="24" xfId="0" applyFont="1" applyFill="1" applyBorder="1" applyAlignment="1">
      <alignment horizontal="center"/>
    </xf>
    <xf numFmtId="0" fontId="9" fillId="6" borderId="35" xfId="0" applyFont="1" applyFill="1" applyBorder="1"/>
    <xf numFmtId="0" fontId="5" fillId="0" borderId="12" xfId="0" applyFont="1" applyBorder="1"/>
    <xf numFmtId="0" fontId="5" fillId="3" borderId="6" xfId="0" applyFont="1" applyFill="1" applyBorder="1"/>
    <xf numFmtId="0" fontId="9" fillId="3" borderId="6" xfId="0" applyFont="1" applyFill="1" applyBorder="1" applyAlignment="1">
      <alignment horizontal="center"/>
    </xf>
    <xf numFmtId="0" fontId="9" fillId="3" borderId="7" xfId="0" applyFont="1" applyFill="1" applyBorder="1" applyAlignment="1">
      <alignment horizontal="center"/>
    </xf>
    <xf numFmtId="0" fontId="5" fillId="4" borderId="36" xfId="0" applyFont="1" applyFill="1" applyBorder="1"/>
    <xf numFmtId="4" fontId="8" fillId="10" borderId="7" xfId="0" applyNumberFormat="1" applyFont="1" applyFill="1" applyBorder="1" applyAlignment="1">
      <alignment horizontal="center"/>
    </xf>
    <xf numFmtId="4" fontId="5" fillId="4" borderId="36" xfId="0" applyNumberFormat="1" applyFont="1" applyFill="1" applyBorder="1" applyAlignment="1">
      <alignment horizontal="center"/>
    </xf>
    <xf numFmtId="172" fontId="8" fillId="0" borderId="6" xfId="0" applyNumberFormat="1" applyFont="1" applyBorder="1" applyAlignment="1">
      <alignment horizontal="center"/>
    </xf>
    <xf numFmtId="172" fontId="8" fillId="10" borderId="6" xfId="0" applyNumberFormat="1" applyFont="1" applyFill="1" applyBorder="1" applyAlignment="1">
      <alignment horizontal="center"/>
    </xf>
    <xf numFmtId="164" fontId="9" fillId="4" borderId="0" xfId="0" applyNumberFormat="1" applyFont="1" applyFill="1" applyAlignment="1">
      <alignment horizontal="center"/>
    </xf>
    <xf numFmtId="164" fontId="35" fillId="0" borderId="12" xfId="0" applyNumberFormat="1" applyFont="1" applyBorder="1"/>
    <xf numFmtId="164" fontId="12" fillId="4" borderId="34" xfId="0" applyNumberFormat="1" applyFont="1" applyFill="1" applyBorder="1"/>
    <xf numFmtId="164" fontId="12" fillId="4" borderId="24" xfId="0" applyNumberFormat="1" applyFont="1" applyFill="1" applyBorder="1"/>
    <xf numFmtId="0" fontId="13" fillId="9" borderId="36" xfId="0" applyFont="1" applyFill="1" applyBorder="1" applyAlignment="1">
      <alignment horizontal="right" vertical="center"/>
    </xf>
    <xf numFmtId="164" fontId="13" fillId="9" borderId="18" xfId="0" applyNumberFormat="1" applyFont="1" applyFill="1" applyBorder="1" applyAlignment="1">
      <alignment vertical="center" wrapText="1"/>
    </xf>
    <xf numFmtId="164" fontId="13" fillId="9" borderId="19" xfId="0" applyNumberFormat="1" applyFont="1" applyFill="1" applyBorder="1" applyAlignment="1">
      <alignment horizontal="center" vertical="center" wrapText="1"/>
    </xf>
    <xf numFmtId="0" fontId="13" fillId="8" borderId="11" xfId="0" applyFont="1" applyFill="1" applyBorder="1" applyAlignment="1">
      <alignment horizontal="left" vertical="center"/>
    </xf>
    <xf numFmtId="164" fontId="9" fillId="8" borderId="34" xfId="0" applyNumberFormat="1" applyFont="1" applyFill="1" applyBorder="1" applyAlignment="1">
      <alignment horizontal="left" vertical="center"/>
    </xf>
    <xf numFmtId="164" fontId="9" fillId="8" borderId="24" xfId="0" applyNumberFormat="1" applyFont="1" applyFill="1" applyBorder="1" applyAlignment="1">
      <alignment horizontal="left" vertical="center"/>
    </xf>
    <xf numFmtId="164" fontId="9" fillId="8" borderId="31" xfId="0" applyNumberFormat="1" applyFont="1" applyFill="1" applyBorder="1" applyAlignment="1">
      <alignment horizontal="left" vertical="center"/>
    </xf>
    <xf numFmtId="0" fontId="26" fillId="0" borderId="5" xfId="0" applyFont="1" applyBorder="1" applyAlignment="1">
      <alignment horizontal="left"/>
    </xf>
    <xf numFmtId="164" fontId="26" fillId="0" borderId="0" xfId="0" applyNumberFormat="1" applyFont="1" applyAlignment="1">
      <alignment horizontal="left" vertical="center"/>
    </xf>
    <xf numFmtId="164" fontId="13" fillId="8" borderId="4" xfId="0" applyNumberFormat="1" applyFont="1" applyFill="1" applyBorder="1" applyAlignment="1">
      <alignment horizontal="left" vertical="center"/>
    </xf>
    <xf numFmtId="0" fontId="26" fillId="0" borderId="6" xfId="0" applyFont="1" applyBorder="1" applyAlignment="1">
      <alignment horizontal="left"/>
    </xf>
    <xf numFmtId="164" fontId="26" fillId="0" borderId="13" xfId="0" applyNumberFormat="1" applyFont="1" applyBorder="1" applyAlignment="1">
      <alignment horizontal="left" vertical="center"/>
    </xf>
    <xf numFmtId="164" fontId="13" fillId="8" borderId="5" xfId="0" applyNumberFormat="1" applyFont="1" applyFill="1" applyBorder="1" applyAlignment="1">
      <alignment horizontal="left" vertical="center"/>
    </xf>
    <xf numFmtId="164" fontId="13" fillId="8" borderId="38" xfId="0" applyNumberFormat="1" applyFont="1" applyFill="1" applyBorder="1" applyAlignment="1">
      <alignment horizontal="left" vertical="center"/>
    </xf>
    <xf numFmtId="164" fontId="13" fillId="8" borderId="27" xfId="0" applyNumberFormat="1" applyFont="1" applyFill="1" applyBorder="1" applyAlignment="1">
      <alignment horizontal="left" vertical="center"/>
    </xf>
    <xf numFmtId="164" fontId="13" fillId="9" borderId="31" xfId="0" applyNumberFormat="1" applyFont="1" applyFill="1" applyBorder="1" applyAlignment="1">
      <alignment horizontal="left" vertical="center"/>
    </xf>
    <xf numFmtId="0" fontId="26" fillId="0" borderId="5" xfId="0" applyFont="1" applyBorder="1" applyAlignment="1">
      <alignment horizontal="left" vertical="center" wrapText="1"/>
    </xf>
    <xf numFmtId="164" fontId="26" fillId="9" borderId="4" xfId="0" applyNumberFormat="1" applyFont="1" applyFill="1" applyBorder="1" applyAlignment="1">
      <alignment horizontal="left" vertical="center"/>
    </xf>
    <xf numFmtId="0" fontId="26" fillId="0" borderId="6" xfId="0" applyFont="1" applyBorder="1" applyAlignment="1">
      <alignment horizontal="left" vertical="center" wrapText="1"/>
    </xf>
    <xf numFmtId="164" fontId="26" fillId="0" borderId="39" xfId="0" applyNumberFormat="1" applyFont="1" applyBorder="1" applyAlignment="1">
      <alignment horizontal="left" vertical="center"/>
    </xf>
    <xf numFmtId="164" fontId="26" fillId="9" borderId="5" xfId="0" applyNumberFormat="1" applyFont="1" applyFill="1" applyBorder="1" applyAlignment="1">
      <alignment horizontal="left" vertical="center"/>
    </xf>
    <xf numFmtId="0" fontId="7" fillId="3" borderId="6" xfId="0" applyFont="1" applyFill="1" applyBorder="1"/>
    <xf numFmtId="0" fontId="26" fillId="6" borderId="10" xfId="0" applyFont="1" applyFill="1" applyBorder="1"/>
    <xf numFmtId="9" fontId="8" fillId="7" borderId="10" xfId="0" applyNumberFormat="1" applyFont="1" applyFill="1" applyBorder="1" applyAlignment="1">
      <alignment horizontal="center"/>
    </xf>
    <xf numFmtId="0" fontId="26" fillId="6" borderId="5" xfId="0" applyFont="1" applyFill="1" applyBorder="1"/>
    <xf numFmtId="0" fontId="8" fillId="7" borderId="5" xfId="0" applyFont="1" applyFill="1" applyBorder="1" applyAlignment="1">
      <alignment horizontal="center"/>
    </xf>
    <xf numFmtId="0" fontId="8" fillId="7" borderId="10" xfId="0" applyFont="1" applyFill="1" applyBorder="1" applyAlignment="1">
      <alignment horizontal="center"/>
    </xf>
    <xf numFmtId="0" fontId="8" fillId="15" borderId="5" xfId="0" applyFont="1" applyFill="1" applyBorder="1" applyAlignment="1">
      <alignment horizontal="center"/>
    </xf>
    <xf numFmtId="0" fontId="26" fillId="6" borderId="6" xfId="0" applyFont="1" applyFill="1" applyBorder="1"/>
    <xf numFmtId="0" fontId="8" fillId="15" borderId="6" xfId="0" applyFont="1" applyFill="1" applyBorder="1" applyAlignment="1">
      <alignment horizontal="center"/>
    </xf>
    <xf numFmtId="9" fontId="8" fillId="15" borderId="6" xfId="0" applyNumberFormat="1" applyFont="1" applyFill="1" applyBorder="1" applyAlignment="1">
      <alignment horizontal="center"/>
    </xf>
    <xf numFmtId="9" fontId="8" fillId="7" borderId="6" xfId="0" applyNumberFormat="1" applyFont="1" applyFill="1" applyBorder="1" applyAlignment="1">
      <alignment horizontal="center"/>
    </xf>
    <xf numFmtId="2" fontId="8" fillId="7" borderId="5" xfId="0" applyNumberFormat="1" applyFont="1" applyFill="1" applyBorder="1" applyAlignment="1">
      <alignment horizontal="center"/>
    </xf>
    <xf numFmtId="1" fontId="8" fillId="7" borderId="6" xfId="0" applyNumberFormat="1" applyFont="1" applyFill="1" applyBorder="1" applyAlignment="1">
      <alignment horizontal="center"/>
    </xf>
    <xf numFmtId="0" fontId="26" fillId="6" borderId="19" xfId="0" applyFont="1" applyFill="1" applyBorder="1"/>
    <xf numFmtId="0" fontId="26" fillId="15" borderId="19" xfId="0" applyFont="1" applyFill="1" applyBorder="1"/>
    <xf numFmtId="2" fontId="8" fillId="15" borderId="5" xfId="0" applyNumberFormat="1" applyFont="1" applyFill="1" applyBorder="1" applyAlignment="1">
      <alignment horizontal="center"/>
    </xf>
    <xf numFmtId="0" fontId="26" fillId="6" borderId="31" xfId="0" applyFont="1" applyFill="1" applyBorder="1"/>
    <xf numFmtId="2" fontId="8" fillId="7" borderId="31" xfId="0" applyNumberFormat="1" applyFont="1" applyFill="1" applyBorder="1" applyAlignment="1">
      <alignment horizontal="center"/>
    </xf>
    <xf numFmtId="179" fontId="8" fillId="7" borderId="5" xfId="0" applyNumberFormat="1" applyFont="1" applyFill="1" applyBorder="1" applyAlignment="1">
      <alignment horizontal="center"/>
    </xf>
    <xf numFmtId="0" fontId="26" fillId="15" borderId="5" xfId="0" applyFont="1" applyFill="1" applyBorder="1"/>
    <xf numFmtId="179" fontId="8" fillId="15" borderId="5" xfId="0" applyNumberFormat="1" applyFont="1" applyFill="1" applyBorder="1" applyAlignment="1">
      <alignment horizontal="center"/>
    </xf>
    <xf numFmtId="0" fontId="26" fillId="6" borderId="10" xfId="0" applyFont="1" applyFill="1" applyBorder="1" applyAlignment="1">
      <alignment horizontal="left"/>
    </xf>
    <xf numFmtId="179" fontId="8" fillId="7" borderId="10" xfId="0" applyNumberFormat="1" applyFont="1" applyFill="1" applyBorder="1" applyAlignment="1">
      <alignment horizontal="center"/>
    </xf>
    <xf numFmtId="0" fontId="26" fillId="6" borderId="4" xfId="0" applyFont="1" applyFill="1" applyBorder="1" applyAlignment="1">
      <alignment horizontal="left"/>
    </xf>
    <xf numFmtId="9" fontId="8" fillId="7" borderId="4" xfId="0" applyNumberFormat="1" applyFont="1" applyFill="1" applyBorder="1" applyAlignment="1">
      <alignment horizontal="center"/>
    </xf>
    <xf numFmtId="0" fontId="26" fillId="6" borderId="6" xfId="0" applyFont="1" applyFill="1" applyBorder="1" applyAlignment="1">
      <alignment horizontal="left"/>
    </xf>
    <xf numFmtId="0" fontId="29" fillId="0" borderId="6" xfId="0" applyFont="1" applyBorder="1" applyAlignment="1">
      <alignment horizontal="center"/>
    </xf>
    <xf numFmtId="164" fontId="29" fillId="4" borderId="0" xfId="0" applyNumberFormat="1" applyFont="1" applyFill="1"/>
    <xf numFmtId="0" fontId="29" fillId="4" borderId="0" xfId="0" applyFont="1" applyFill="1"/>
    <xf numFmtId="164" fontId="11" fillId="4" borderId="36" xfId="0" applyNumberFormat="1" applyFont="1" applyFill="1" applyBorder="1"/>
    <xf numFmtId="0" fontId="8" fillId="0" borderId="5" xfId="0" applyFont="1" applyBorder="1"/>
    <xf numFmtId="9" fontId="8" fillId="0" borderId="6" xfId="0" applyNumberFormat="1" applyFont="1" applyBorder="1" applyAlignment="1">
      <alignment horizontal="center"/>
    </xf>
    <xf numFmtId="9" fontId="8" fillId="15" borderId="7" xfId="0" applyNumberFormat="1" applyFont="1" applyFill="1" applyBorder="1" applyAlignment="1">
      <alignment horizontal="center"/>
    </xf>
    <xf numFmtId="3" fontId="8" fillId="9" borderId="6" xfId="0" applyNumberFormat="1" applyFont="1" applyFill="1" applyBorder="1" applyAlignment="1">
      <alignment horizontal="center"/>
    </xf>
    <xf numFmtId="3" fontId="8" fillId="9" borderId="7" xfId="0" applyNumberFormat="1" applyFont="1" applyFill="1" applyBorder="1" applyAlignment="1">
      <alignment horizontal="center"/>
    </xf>
    <xf numFmtId="174" fontId="8" fillId="0" borderId="7" xfId="0" applyNumberFormat="1" applyFont="1" applyBorder="1" applyAlignment="1">
      <alignment horizontal="center"/>
    </xf>
    <xf numFmtId="3" fontId="8" fillId="0" borderId="7" xfId="0" applyNumberFormat="1" applyFont="1" applyBorder="1" applyAlignment="1">
      <alignment horizontal="center"/>
    </xf>
    <xf numFmtId="3" fontId="8" fillId="6" borderId="7" xfId="0" applyNumberFormat="1" applyFont="1" applyFill="1" applyBorder="1" applyAlignment="1">
      <alignment horizontal="center"/>
    </xf>
    <xf numFmtId="0" fontId="8" fillId="0" borderId="3" xfId="0" applyFont="1" applyBorder="1"/>
    <xf numFmtId="4" fontId="8" fillId="0" borderId="7" xfId="0" applyNumberFormat="1" applyFont="1" applyBorder="1" applyAlignment="1">
      <alignment horizontal="center"/>
    </xf>
    <xf numFmtId="0" fontId="8" fillId="6" borderId="6" xfId="0" applyFont="1" applyFill="1" applyBorder="1" applyAlignment="1">
      <alignment horizontal="left"/>
    </xf>
    <xf numFmtId="1" fontId="8" fillId="9" borderId="5" xfId="0" applyNumberFormat="1" applyFont="1" applyFill="1" applyBorder="1" applyAlignment="1">
      <alignment horizontal="center"/>
    </xf>
    <xf numFmtId="9" fontId="11" fillId="4" borderId="0" xfId="0" applyNumberFormat="1" applyFont="1" applyFill="1" applyAlignment="1">
      <alignment horizontal="left"/>
    </xf>
    <xf numFmtId="0" fontId="8" fillId="6" borderId="3" xfId="0" applyFont="1" applyFill="1" applyBorder="1" applyAlignment="1">
      <alignment horizontal="left"/>
    </xf>
    <xf numFmtId="1" fontId="8" fillId="9" borderId="4" xfId="0" applyNumberFormat="1" applyFont="1" applyFill="1" applyBorder="1" applyAlignment="1">
      <alignment horizontal="center"/>
    </xf>
    <xf numFmtId="0" fontId="8" fillId="6" borderId="10" xfId="0" applyFont="1" applyFill="1" applyBorder="1" applyAlignment="1">
      <alignment horizontal="left"/>
    </xf>
    <xf numFmtId="1" fontId="8" fillId="9" borderId="10" xfId="0" applyNumberFormat="1" applyFont="1" applyFill="1" applyBorder="1" applyAlignment="1">
      <alignment horizontal="center"/>
    </xf>
    <xf numFmtId="9" fontId="8" fillId="4" borderId="0" xfId="1" applyFont="1" applyFill="1" applyBorder="1" applyProtection="1"/>
    <xf numFmtId="0" fontId="11" fillId="4" borderId="0" xfId="0" applyFont="1" applyFill="1" applyAlignment="1">
      <alignment horizontal="left"/>
    </xf>
    <xf numFmtId="0" fontId="9" fillId="0" borderId="5" xfId="0" applyFont="1" applyBorder="1"/>
    <xf numFmtId="3" fontId="9" fillId="8" borderId="5" xfId="0" applyNumberFormat="1" applyFont="1" applyFill="1" applyBorder="1" applyAlignment="1">
      <alignment horizontal="center"/>
    </xf>
    <xf numFmtId="3" fontId="8" fillId="15" borderId="6" xfId="0" applyNumberFormat="1" applyFont="1" applyFill="1" applyBorder="1" applyAlignment="1">
      <alignment horizontal="center"/>
    </xf>
    <xf numFmtId="3" fontId="11" fillId="4" borderId="0" xfId="0" applyNumberFormat="1" applyFont="1" applyFill="1"/>
    <xf numFmtId="2" fontId="11" fillId="4" borderId="0" xfId="0" applyNumberFormat="1" applyFont="1" applyFill="1"/>
    <xf numFmtId="3" fontId="8" fillId="9" borderId="9" xfId="0" applyNumberFormat="1" applyFont="1" applyFill="1" applyBorder="1" applyAlignment="1">
      <alignment horizontal="center"/>
    </xf>
    <xf numFmtId="164" fontId="8" fillId="4" borderId="36" xfId="0" applyNumberFormat="1" applyFont="1" applyFill="1" applyBorder="1"/>
    <xf numFmtId="3" fontId="8" fillId="15" borderId="9" xfId="0" applyNumberFormat="1" applyFont="1" applyFill="1" applyBorder="1" applyAlignment="1">
      <alignment horizontal="center"/>
    </xf>
    <xf numFmtId="3" fontId="13" fillId="8" borderId="14" xfId="0" applyNumberFormat="1" applyFont="1" applyFill="1" applyBorder="1" applyAlignment="1">
      <alignment horizontal="center"/>
    </xf>
    <xf numFmtId="0" fontId="13" fillId="3" borderId="7" xfId="0" applyFont="1" applyFill="1" applyBorder="1"/>
    <xf numFmtId="164" fontId="11" fillId="6" borderId="6" xfId="0" applyNumberFormat="1" applyFont="1" applyFill="1" applyBorder="1"/>
    <xf numFmtId="0" fontId="8" fillId="0" borderId="39" xfId="0" applyFont="1" applyBorder="1"/>
    <xf numFmtId="164" fontId="8" fillId="9" borderId="5" xfId="0" applyNumberFormat="1" applyFont="1" applyFill="1" applyBorder="1" applyAlignment="1">
      <alignment horizontal="center"/>
    </xf>
    <xf numFmtId="0" fontId="5" fillId="0" borderId="13" xfId="0" applyFont="1" applyBorder="1"/>
    <xf numFmtId="0" fontId="8" fillId="0" borderId="7" xfId="0" applyFont="1" applyBorder="1"/>
    <xf numFmtId="164" fontId="8" fillId="9" borderId="6" xfId="0" applyNumberFormat="1" applyFont="1" applyFill="1" applyBorder="1" applyAlignment="1">
      <alignment horizontal="center"/>
    </xf>
    <xf numFmtId="0" fontId="8" fillId="0" borderId="37" xfId="0" applyFont="1" applyBorder="1"/>
    <xf numFmtId="0" fontId="5" fillId="0" borderId="27" xfId="0" applyFont="1" applyBorder="1"/>
    <xf numFmtId="164" fontId="8" fillId="9" borderId="10" xfId="0" applyNumberFormat="1" applyFont="1" applyFill="1" applyBorder="1" applyAlignment="1">
      <alignment horizontal="center"/>
    </xf>
    <xf numFmtId="0" fontId="13" fillId="0" borderId="39" xfId="0" applyFont="1" applyBorder="1"/>
    <xf numFmtId="164" fontId="9" fillId="9" borderId="5" xfId="0" applyNumberFormat="1" applyFont="1" applyFill="1" applyBorder="1" applyAlignment="1">
      <alignment horizontal="center"/>
    </xf>
    <xf numFmtId="164" fontId="11" fillId="4" borderId="0" xfId="0" applyNumberFormat="1" applyFont="1" applyFill="1" applyAlignment="1">
      <alignment horizontal="center"/>
    </xf>
    <xf numFmtId="0" fontId="13" fillId="6" borderId="7" xfId="0" applyFont="1" applyFill="1" applyBorder="1"/>
    <xf numFmtId="0" fontId="13" fillId="4" borderId="0" xfId="0" applyFont="1" applyFill="1" applyAlignment="1">
      <alignment horizontal="left"/>
    </xf>
    <xf numFmtId="9" fontId="5" fillId="4" borderId="0" xfId="0" applyNumberFormat="1" applyFont="1" applyFill="1" applyAlignment="1">
      <alignment horizontal="center"/>
    </xf>
    <xf numFmtId="9" fontId="8" fillId="6" borderId="6" xfId="0" applyNumberFormat="1" applyFont="1" applyFill="1" applyBorder="1" applyAlignment="1">
      <alignment horizontal="center"/>
    </xf>
    <xf numFmtId="3" fontId="8" fillId="9" borderId="3" xfId="0" applyNumberFormat="1" applyFont="1" applyFill="1" applyBorder="1" applyAlignment="1">
      <alignment horizontal="center"/>
    </xf>
    <xf numFmtId="3" fontId="8" fillId="9" borderId="5" xfId="0" applyNumberFormat="1" applyFont="1" applyFill="1" applyBorder="1" applyAlignment="1">
      <alignment horizontal="center"/>
    </xf>
    <xf numFmtId="3" fontId="13" fillId="8" borderId="5" xfId="0" applyNumberFormat="1" applyFont="1" applyFill="1" applyBorder="1" applyAlignment="1">
      <alignment horizontal="center"/>
    </xf>
    <xf numFmtId="164" fontId="5" fillId="6" borderId="6" xfId="0" applyNumberFormat="1" applyFont="1" applyFill="1" applyBorder="1" applyAlignment="1">
      <alignment horizontal="center"/>
    </xf>
    <xf numFmtId="164" fontId="9" fillId="9" borderId="6" xfId="0" applyNumberFormat="1" applyFont="1" applyFill="1" applyBorder="1" applyAlignment="1">
      <alignment horizontal="center"/>
    </xf>
    <xf numFmtId="9" fontId="5" fillId="4" borderId="0" xfId="0" applyNumberFormat="1" applyFont="1" applyFill="1" applyAlignment="1">
      <alignment horizontal="left"/>
    </xf>
    <xf numFmtId="3" fontId="15" fillId="4" borderId="0" xfId="0" applyNumberFormat="1" applyFont="1" applyFill="1"/>
    <xf numFmtId="3" fontId="8" fillId="9" borderId="8" xfId="0" applyNumberFormat="1" applyFont="1" applyFill="1" applyBorder="1" applyAlignment="1">
      <alignment horizontal="center"/>
    </xf>
    <xf numFmtId="3" fontId="13" fillId="8" borderId="8" xfId="0" applyNumberFormat="1" applyFont="1" applyFill="1" applyBorder="1" applyAlignment="1">
      <alignment horizontal="center"/>
    </xf>
    <xf numFmtId="0" fontId="7" fillId="6" borderId="6" xfId="0" applyFont="1" applyFill="1" applyBorder="1"/>
    <xf numFmtId="0" fontId="7" fillId="4" borderId="0" xfId="0" applyFont="1" applyFill="1"/>
    <xf numFmtId="0" fontId="13" fillId="6" borderId="33" xfId="0" applyFont="1" applyFill="1" applyBorder="1" applyAlignment="1">
      <alignment horizontal="center"/>
    </xf>
    <xf numFmtId="0" fontId="5" fillId="0" borderId="5" xfId="0" applyFont="1" applyBorder="1" applyAlignment="1">
      <alignment horizontal="center" vertical="top"/>
    </xf>
    <xf numFmtId="0" fontId="5" fillId="0" borderId="5" xfId="0" applyFont="1" applyBorder="1" applyAlignment="1">
      <alignment horizontal="right" vertical="top"/>
    </xf>
    <xf numFmtId="0" fontId="5" fillId="0" borderId="5" xfId="0" applyFont="1" applyBorder="1" applyAlignment="1">
      <alignment horizontal="center" vertical="top" wrapText="1"/>
    </xf>
    <xf numFmtId="0" fontId="5" fillId="0" borderId="6" xfId="0" applyFont="1" applyBorder="1" applyAlignment="1">
      <alignment horizontal="right"/>
    </xf>
    <xf numFmtId="4" fontId="37" fillId="0" borderId="6" xfId="0" applyNumberFormat="1" applyFont="1" applyBorder="1" applyAlignment="1">
      <alignment horizontal="right"/>
    </xf>
    <xf numFmtId="4" fontId="5" fillId="10" borderId="6" xfId="0" applyNumberFormat="1" applyFont="1" applyFill="1" applyBorder="1" applyAlignment="1">
      <alignment horizontal="right"/>
    </xf>
    <xf numFmtId="4" fontId="5" fillId="0" borderId="6" xfId="0" applyNumberFormat="1" applyFont="1" applyBorder="1" applyAlignment="1">
      <alignment horizontal="right"/>
    </xf>
    <xf numFmtId="0" fontId="37" fillId="0" borderId="6" xfId="0" applyFont="1" applyBorder="1"/>
    <xf numFmtId="4" fontId="5" fillId="0" borderId="6" xfId="0" applyNumberFormat="1" applyFont="1" applyBorder="1"/>
    <xf numFmtId="0" fontId="5" fillId="0" borderId="10" xfId="0" applyFont="1" applyBorder="1"/>
    <xf numFmtId="0" fontId="5" fillId="0" borderId="10" xfId="0" applyFont="1" applyBorder="1" applyAlignment="1">
      <alignment horizontal="right"/>
    </xf>
    <xf numFmtId="4" fontId="5" fillId="0" borderId="10" xfId="0" applyNumberFormat="1" applyFont="1" applyBorder="1"/>
    <xf numFmtId="4" fontId="5" fillId="10" borderId="10" xfId="0" applyNumberFormat="1" applyFont="1" applyFill="1" applyBorder="1" applyAlignment="1">
      <alignment horizontal="right"/>
    </xf>
    <xf numFmtId="0" fontId="14" fillId="0" borderId="5" xfId="0" applyFont="1" applyBorder="1"/>
    <xf numFmtId="4" fontId="5" fillId="10" borderId="5" xfId="0" applyNumberFormat="1" applyFont="1" applyFill="1" applyBorder="1"/>
    <xf numFmtId="4" fontId="15" fillId="6" borderId="7" xfId="0" applyNumberFormat="1" applyFont="1" applyFill="1" applyBorder="1"/>
    <xf numFmtId="9" fontId="5" fillId="6" borderId="8" xfId="0" applyNumberFormat="1" applyFont="1" applyFill="1" applyBorder="1"/>
    <xf numFmtId="0" fontId="25" fillId="0" borderId="5" xfId="0" applyFont="1" applyBorder="1" applyAlignment="1">
      <alignment horizontal="center" vertical="top"/>
    </xf>
    <xf numFmtId="0" fontId="25" fillId="0" borderId="5" xfId="0" applyFont="1" applyBorder="1" applyAlignment="1">
      <alignment horizontal="right" vertical="top"/>
    </xf>
    <xf numFmtId="0" fontId="25" fillId="0" borderId="5" xfId="0" applyFont="1" applyBorder="1" applyAlignment="1">
      <alignment horizontal="center" vertical="top" wrapText="1"/>
    </xf>
    <xf numFmtId="0" fontId="15" fillId="4" borderId="0" xfId="0" applyFont="1" applyFill="1" applyAlignment="1">
      <alignment horizontal="left"/>
    </xf>
    <xf numFmtId="0" fontId="25" fillId="0" borderId="6" xfId="0" applyFont="1" applyBorder="1"/>
    <xf numFmtId="164" fontId="25" fillId="0" borderId="5" xfId="0" applyNumberFormat="1" applyFont="1" applyBorder="1" applyAlignment="1">
      <alignment horizontal="right" vertical="top"/>
    </xf>
    <xf numFmtId="4" fontId="25" fillId="10" borderId="6" xfId="0" applyNumberFormat="1" applyFont="1" applyFill="1" applyBorder="1"/>
    <xf numFmtId="164" fontId="25" fillId="0" borderId="6" xfId="0" applyNumberFormat="1" applyFont="1" applyBorder="1" applyAlignment="1">
      <alignment horizontal="right"/>
    </xf>
    <xf numFmtId="4" fontId="25" fillId="0" borderId="6" xfId="0" applyNumberFormat="1" applyFont="1" applyBorder="1" applyAlignment="1">
      <alignment horizontal="right"/>
    </xf>
    <xf numFmtId="0" fontId="25" fillId="0" borderId="10" xfId="0" applyFont="1" applyBorder="1"/>
    <xf numFmtId="164" fontId="25" fillId="0" borderId="10" xfId="0" applyNumberFormat="1" applyFont="1" applyBorder="1" applyAlignment="1">
      <alignment horizontal="right"/>
    </xf>
    <xf numFmtId="4" fontId="25" fillId="10" borderId="10" xfId="0" applyNumberFormat="1" applyFont="1" applyFill="1" applyBorder="1"/>
    <xf numFmtId="2" fontId="25" fillId="3" borderId="39" xfId="0" applyNumberFormat="1" applyFont="1" applyFill="1" applyBorder="1" applyAlignment="1">
      <alignment horizontal="right"/>
    </xf>
    <xf numFmtId="2" fontId="25" fillId="3" borderId="13" xfId="0" applyNumberFormat="1" applyFont="1" applyFill="1" applyBorder="1" applyAlignment="1">
      <alignment horizontal="center"/>
    </xf>
    <xf numFmtId="4" fontId="25" fillId="10" borderId="5" xfId="0" applyNumberFormat="1" applyFont="1" applyFill="1" applyBorder="1"/>
    <xf numFmtId="181" fontId="25" fillId="6" borderId="26" xfId="0" applyNumberFormat="1" applyFont="1" applyFill="1" applyBorder="1" applyAlignment="1">
      <alignment horizontal="right"/>
    </xf>
    <xf numFmtId="0" fontId="25" fillId="4" borderId="0" xfId="0" applyFont="1" applyFill="1"/>
    <xf numFmtId="0" fontId="25" fillId="6" borderId="36" xfId="0" applyFont="1" applyFill="1" applyBorder="1" applyAlignment="1">
      <alignment horizontal="right"/>
    </xf>
    <xf numFmtId="0" fontId="25" fillId="6" borderId="39" xfId="0" applyFont="1" applyFill="1" applyBorder="1" applyAlignment="1">
      <alignment horizontal="right"/>
    </xf>
    <xf numFmtId="0" fontId="25" fillId="4" borderId="0" xfId="0" applyFont="1" applyFill="1" applyAlignment="1">
      <alignment horizontal="right"/>
    </xf>
    <xf numFmtId="170" fontId="25" fillId="4" borderId="0" xfId="0" applyNumberFormat="1" applyFont="1" applyFill="1" applyAlignment="1">
      <alignment horizontal="right"/>
    </xf>
    <xf numFmtId="9" fontId="25" fillId="6" borderId="8" xfId="0" applyNumberFormat="1" applyFont="1" applyFill="1" applyBorder="1"/>
    <xf numFmtId="0" fontId="25" fillId="6" borderId="6" xfId="0" applyFont="1" applyFill="1" applyBorder="1" applyAlignment="1">
      <alignment horizontal="left"/>
    </xf>
    <xf numFmtId="182" fontId="25" fillId="6" borderId="6" xfId="0" applyNumberFormat="1" applyFont="1" applyFill="1" applyBorder="1" applyAlignment="1">
      <alignment horizontal="right"/>
    </xf>
    <xf numFmtId="0" fontId="5" fillId="6" borderId="6" xfId="0" applyFont="1" applyFill="1" applyBorder="1" applyAlignment="1">
      <alignment horizontal="right"/>
    </xf>
    <xf numFmtId="4" fontId="5" fillId="10" borderId="6" xfId="0" applyNumberFormat="1" applyFont="1" applyFill="1" applyBorder="1"/>
    <xf numFmtId="182" fontId="5" fillId="0" borderId="6" xfId="0" applyNumberFormat="1" applyFont="1" applyBorder="1" applyAlignment="1">
      <alignment horizontal="right"/>
    </xf>
    <xf numFmtId="3" fontId="5" fillId="6" borderId="6" xfId="0" applyNumberFormat="1" applyFont="1" applyFill="1" applyBorder="1" applyAlignment="1">
      <alignment horizontal="right"/>
    </xf>
    <xf numFmtId="164" fontId="5" fillId="0" borderId="6" xfId="0" applyNumberFormat="1" applyFont="1" applyBorder="1" applyAlignment="1">
      <alignment horizontal="right"/>
    </xf>
    <xf numFmtId="0" fontId="5" fillId="0" borderId="10" xfId="0" applyFont="1" applyBorder="1" applyAlignment="1">
      <alignment horizontal="left" vertical="top"/>
    </xf>
    <xf numFmtId="4" fontId="5" fillId="10" borderId="10" xfId="0" applyNumberFormat="1" applyFont="1" applyFill="1" applyBorder="1"/>
    <xf numFmtId="1" fontId="5" fillId="0" borderId="6" xfId="0" applyNumberFormat="1" applyFont="1" applyBorder="1" applyAlignment="1">
      <alignment horizontal="right"/>
    </xf>
    <xf numFmtId="0" fontId="37" fillId="0" borderId="6" xfId="0" applyFont="1" applyBorder="1" applyAlignment="1">
      <alignment horizontal="right"/>
    </xf>
    <xf numFmtId="164" fontId="37" fillId="0" borderId="6" xfId="0" applyNumberFormat="1" applyFont="1" applyBorder="1" applyAlignment="1">
      <alignment horizontal="right"/>
    </xf>
    <xf numFmtId="0" fontId="5" fillId="0" borderId="6" xfId="0" applyFont="1" applyBorder="1" applyAlignment="1">
      <alignment vertical="top" wrapText="1"/>
    </xf>
    <xf numFmtId="0" fontId="5" fillId="0" borderId="6" xfId="0" applyFont="1" applyBorder="1" applyAlignment="1">
      <alignment horizontal="right" vertical="top"/>
    </xf>
    <xf numFmtId="4" fontId="5" fillId="10" borderId="6" xfId="0" applyNumberFormat="1" applyFont="1" applyFill="1" applyBorder="1" applyAlignment="1">
      <alignment vertical="top"/>
    </xf>
    <xf numFmtId="4" fontId="5" fillId="10" borderId="6" xfId="0" applyNumberFormat="1" applyFont="1" applyFill="1" applyBorder="1" applyAlignment="1">
      <alignment horizontal="center" vertical="top"/>
    </xf>
    <xf numFmtId="0" fontId="5" fillId="0" borderId="6" xfId="0" applyFont="1" applyBorder="1" applyAlignment="1">
      <alignment horizontal="right" vertical="top" wrapText="1"/>
    </xf>
    <xf numFmtId="4" fontId="5" fillId="10" borderId="6" xfId="0" applyNumberFormat="1" applyFont="1" applyFill="1" applyBorder="1" applyAlignment="1">
      <alignment vertical="top" wrapText="1"/>
    </xf>
    <xf numFmtId="0" fontId="5" fillId="0" borderId="10" xfId="0" applyFont="1" applyBorder="1" applyAlignment="1">
      <alignment vertical="top" wrapText="1"/>
    </xf>
    <xf numFmtId="0" fontId="5" fillId="0" borderId="10" xfId="0" applyFont="1" applyBorder="1" applyAlignment="1">
      <alignment horizontal="right" vertical="top" wrapText="1"/>
    </xf>
    <xf numFmtId="4" fontId="5" fillId="0" borderId="10" xfId="0" applyNumberFormat="1" applyFont="1" applyBorder="1" applyAlignment="1">
      <alignment vertical="top" wrapText="1"/>
    </xf>
    <xf numFmtId="4" fontId="5" fillId="10" borderId="10" xfId="0" applyNumberFormat="1" applyFont="1" applyFill="1" applyBorder="1" applyAlignment="1">
      <alignment vertical="top" wrapText="1"/>
    </xf>
    <xf numFmtId="4" fontId="5" fillId="10" borderId="10" xfId="0" applyNumberFormat="1" applyFont="1" applyFill="1" applyBorder="1" applyAlignment="1">
      <alignment horizontal="center" vertical="top"/>
    </xf>
    <xf numFmtId="0" fontId="5" fillId="4" borderId="13" xfId="0" applyFont="1" applyFill="1" applyBorder="1" applyAlignment="1">
      <alignment horizontal="right"/>
    </xf>
    <xf numFmtId="0" fontId="13" fillId="6" borderId="33" xfId="0" applyFont="1" applyFill="1" applyBorder="1"/>
    <xf numFmtId="0" fontId="5" fillId="0" borderId="6" xfId="0" applyFont="1" applyBorder="1" applyAlignment="1">
      <alignment horizontal="center" vertical="top"/>
    </xf>
    <xf numFmtId="0" fontId="5" fillId="0" borderId="6" xfId="0" applyFont="1" applyBorder="1" applyAlignment="1">
      <alignment horizontal="center" vertical="top" wrapText="1"/>
    </xf>
    <xf numFmtId="0" fontId="5" fillId="0" borderId="10" xfId="0" applyFont="1" applyBorder="1" applyAlignment="1">
      <alignment wrapText="1"/>
    </xf>
    <xf numFmtId="0" fontId="5" fillId="0" borderId="10" xfId="0" applyFont="1" applyBorder="1" applyAlignment="1">
      <alignment horizontal="right" vertical="top"/>
    </xf>
    <xf numFmtId="4" fontId="5" fillId="10" borderId="10" xfId="0" applyNumberFormat="1" applyFont="1" applyFill="1" applyBorder="1" applyAlignment="1">
      <alignment horizontal="right" vertical="top"/>
    </xf>
    <xf numFmtId="0" fontId="5" fillId="0" borderId="6" xfId="0" applyFont="1" applyBorder="1" applyAlignment="1">
      <alignment horizontal="left"/>
    </xf>
    <xf numFmtId="0" fontId="5" fillId="0" borderId="6" xfId="0" applyFont="1" applyBorder="1" applyAlignment="1">
      <alignment horizontal="left" wrapText="1"/>
    </xf>
    <xf numFmtId="0" fontId="5" fillId="0" borderId="6" xfId="0" applyFont="1" applyBorder="1" applyAlignment="1">
      <alignment horizontal="right" wrapText="1"/>
    </xf>
    <xf numFmtId="0" fontId="5" fillId="0" borderId="10" xfId="0" applyFont="1" applyBorder="1" applyAlignment="1">
      <alignment horizontal="left"/>
    </xf>
    <xf numFmtId="0" fontId="14" fillId="0" borderId="5" xfId="0" applyFont="1" applyBorder="1" applyAlignment="1">
      <alignment horizontal="left"/>
    </xf>
    <xf numFmtId="0" fontId="5" fillId="0" borderId="5" xfId="0" applyFont="1" applyBorder="1" applyAlignment="1">
      <alignment horizontal="right"/>
    </xf>
    <xf numFmtId="0" fontId="5" fillId="0" borderId="5" xfId="0" applyFont="1" applyBorder="1" applyAlignment="1">
      <alignment horizontal="left"/>
    </xf>
    <xf numFmtId="0" fontId="5" fillId="0" borderId="5" xfId="0" applyFont="1" applyBorder="1" applyAlignment="1">
      <alignment wrapText="1"/>
    </xf>
    <xf numFmtId="0" fontId="5" fillId="0" borderId="5" xfId="0" applyFont="1" applyBorder="1"/>
    <xf numFmtId="165" fontId="5" fillId="10" borderId="6" xfId="0" applyNumberFormat="1" applyFont="1" applyFill="1" applyBorder="1"/>
    <xf numFmtId="4" fontId="5" fillId="0" borderId="0" xfId="0" applyNumberFormat="1" applyFont="1"/>
    <xf numFmtId="0" fontId="13" fillId="0" borderId="33" xfId="0" applyFont="1" applyBorder="1" applyAlignment="1">
      <alignment horizontal="center"/>
    </xf>
    <xf numFmtId="0" fontId="13" fillId="4" borderId="0" xfId="0" applyFont="1" applyFill="1" applyAlignment="1">
      <alignment horizontal="center"/>
    </xf>
    <xf numFmtId="183" fontId="5" fillId="0" borderId="6" xfId="0" applyNumberFormat="1" applyFont="1" applyBorder="1"/>
    <xf numFmtId="183" fontId="5" fillId="0" borderId="10" xfId="0" applyNumberFormat="1" applyFont="1" applyBorder="1"/>
    <xf numFmtId="0" fontId="29" fillId="6" borderId="7" xfId="0" applyFont="1" applyFill="1" applyBorder="1"/>
    <xf numFmtId="0" fontId="13" fillId="0" borderId="24" xfId="0" applyFont="1" applyBorder="1" applyAlignment="1">
      <alignment horizontal="center"/>
    </xf>
    <xf numFmtId="0" fontId="25" fillId="0" borderId="6" xfId="0" applyFont="1" applyBorder="1" applyAlignment="1">
      <alignment horizontal="center" vertical="top"/>
    </xf>
    <xf numFmtId="0" fontId="25" fillId="0" borderId="6" xfId="0" applyFont="1" applyBorder="1" applyAlignment="1">
      <alignment vertical="top" wrapText="1"/>
    </xf>
    <xf numFmtId="0" fontId="25" fillId="0" borderId="6" xfId="0" applyFont="1" applyBorder="1" applyAlignment="1">
      <alignment horizontal="left" vertical="top"/>
    </xf>
    <xf numFmtId="164" fontId="25" fillId="0" borderId="6" xfId="0" applyNumberFormat="1" applyFont="1" applyBorder="1" applyAlignment="1">
      <alignment horizontal="center" vertical="top"/>
    </xf>
    <xf numFmtId="4" fontId="25" fillId="0" borderId="6" xfId="0" applyNumberFormat="1" applyFont="1" applyBorder="1" applyAlignment="1">
      <alignment horizontal="right" vertical="top"/>
    </xf>
    <xf numFmtId="3" fontId="25" fillId="0" borderId="6" xfId="0" applyNumberFormat="1" applyFont="1" applyBorder="1"/>
    <xf numFmtId="164" fontId="25" fillId="0" borderId="6" xfId="0" applyNumberFormat="1" applyFont="1" applyBorder="1"/>
    <xf numFmtId="4" fontId="25" fillId="0" borderId="6" xfId="0" applyNumberFormat="1" applyFont="1" applyBorder="1"/>
    <xf numFmtId="3" fontId="25" fillId="0" borderId="10" xfId="0" applyNumberFormat="1" applyFont="1" applyBorder="1"/>
    <xf numFmtId="164" fontId="25" fillId="0" borderId="10" xfId="0" applyNumberFormat="1" applyFont="1" applyBorder="1"/>
    <xf numFmtId="164" fontId="5" fillId="0" borderId="10" xfId="0" applyNumberFormat="1" applyFont="1" applyBorder="1"/>
    <xf numFmtId="0" fontId="25" fillId="0" borderId="39" xfId="0" applyFont="1" applyBorder="1"/>
    <xf numFmtId="2" fontId="25" fillId="3" borderId="39" xfId="0" applyNumberFormat="1" applyFont="1" applyFill="1" applyBorder="1"/>
    <xf numFmtId="2" fontId="25" fillId="3" borderId="13" xfId="0" applyNumberFormat="1" applyFont="1" applyFill="1" applyBorder="1"/>
    <xf numFmtId="0" fontId="39" fillId="6" borderId="40" xfId="0" applyFont="1" applyFill="1" applyBorder="1"/>
    <xf numFmtId="181" fontId="25" fillId="6" borderId="22" xfId="0" applyNumberFormat="1" applyFont="1" applyFill="1" applyBorder="1"/>
    <xf numFmtId="181" fontId="25" fillId="6" borderId="26" xfId="0" applyNumberFormat="1" applyFont="1" applyFill="1" applyBorder="1"/>
    <xf numFmtId="170" fontId="25" fillId="6" borderId="0" xfId="0" applyNumberFormat="1" applyFont="1" applyFill="1"/>
    <xf numFmtId="170" fontId="25" fillId="6" borderId="23" xfId="0" applyNumberFormat="1" applyFont="1" applyFill="1" applyBorder="1"/>
    <xf numFmtId="170" fontId="25" fillId="6" borderId="13" xfId="0" applyNumberFormat="1" applyFont="1" applyFill="1" applyBorder="1"/>
    <xf numFmtId="170" fontId="25" fillId="6" borderId="14" xfId="0" applyNumberFormat="1" applyFont="1" applyFill="1" applyBorder="1"/>
    <xf numFmtId="0" fontId="5" fillId="10" borderId="40" xfId="0" applyFont="1" applyFill="1" applyBorder="1"/>
    <xf numFmtId="173" fontId="5" fillId="10" borderId="26" xfId="0" applyNumberFormat="1" applyFont="1" applyFill="1" applyBorder="1"/>
    <xf numFmtId="170" fontId="25" fillId="4" borderId="0" xfId="0" applyNumberFormat="1" applyFont="1" applyFill="1"/>
    <xf numFmtId="0" fontId="5" fillId="10" borderId="36" xfId="0" applyFont="1" applyFill="1" applyBorder="1"/>
    <xf numFmtId="10" fontId="5" fillId="10" borderId="23" xfId="0" applyNumberFormat="1" applyFont="1" applyFill="1" applyBorder="1"/>
    <xf numFmtId="165" fontId="5" fillId="10" borderId="23" xfId="0" applyNumberFormat="1" applyFont="1" applyFill="1" applyBorder="1"/>
    <xf numFmtId="0" fontId="5" fillId="10" borderId="39" xfId="0" applyFont="1" applyFill="1" applyBorder="1"/>
    <xf numFmtId="165" fontId="5" fillId="10" borderId="14" xfId="0" applyNumberFormat="1" applyFont="1" applyFill="1" applyBorder="1"/>
    <xf numFmtId="0" fontId="5" fillId="6" borderId="6" xfId="0" applyFont="1" applyFill="1" applyBorder="1" applyAlignment="1">
      <alignment vertical="top" wrapText="1"/>
    </xf>
    <xf numFmtId="3" fontId="5" fillId="0" borderId="6" xfId="0" applyNumberFormat="1" applyFont="1" applyBorder="1"/>
    <xf numFmtId="3" fontId="5" fillId="6" borderId="6" xfId="0" applyNumberFormat="1" applyFont="1" applyFill="1" applyBorder="1"/>
    <xf numFmtId="0" fontId="5" fillId="0" borderId="7" xfId="0" applyFont="1" applyBorder="1" applyAlignment="1">
      <alignment vertical="top" wrapText="1"/>
    </xf>
    <xf numFmtId="4" fontId="5" fillId="10" borderId="7" xfId="0" applyNumberFormat="1" applyFont="1" applyFill="1" applyBorder="1"/>
    <xf numFmtId="0" fontId="5" fillId="4" borderId="36" xfId="0" applyFont="1" applyFill="1" applyBorder="1" applyAlignment="1">
      <alignment horizontal="center"/>
    </xf>
    <xf numFmtId="1" fontId="5" fillId="0" borderId="6" xfId="0" applyNumberFormat="1" applyFont="1" applyBorder="1"/>
    <xf numFmtId="0" fontId="5" fillId="0" borderId="39" xfId="0" applyFont="1" applyBorder="1"/>
    <xf numFmtId="0" fontId="5" fillId="0" borderId="6" xfId="0" applyFont="1" applyBorder="1" applyAlignment="1">
      <alignment vertical="top"/>
    </xf>
    <xf numFmtId="4" fontId="5" fillId="0" borderId="6" xfId="0" applyNumberFormat="1" applyFont="1" applyBorder="1" applyAlignment="1">
      <alignment vertical="top"/>
    </xf>
    <xf numFmtId="0" fontId="5" fillId="0" borderId="10" xfId="0" applyFont="1" applyBorder="1" applyAlignment="1">
      <alignment vertical="top"/>
    </xf>
    <xf numFmtId="4" fontId="5" fillId="10" borderId="10" xfId="0" applyNumberFormat="1" applyFont="1" applyFill="1" applyBorder="1" applyAlignment="1">
      <alignment vertical="top"/>
    </xf>
    <xf numFmtId="0" fontId="14" fillId="4" borderId="0" xfId="0" applyFont="1" applyFill="1"/>
    <xf numFmtId="4" fontId="5" fillId="0" borderId="10" xfId="0" applyNumberFormat="1" applyFont="1" applyBorder="1" applyAlignment="1">
      <alignment vertical="top"/>
    </xf>
    <xf numFmtId="0" fontId="5" fillId="0" borderId="6" xfId="0" applyFont="1" applyBorder="1" applyAlignment="1">
      <alignment wrapText="1"/>
    </xf>
    <xf numFmtId="183" fontId="5" fillId="0" borderId="10" xfId="0" applyNumberFormat="1" applyFont="1" applyBorder="1" applyAlignment="1">
      <alignment horizontal="center"/>
    </xf>
    <xf numFmtId="4" fontId="29" fillId="6" borderId="7" xfId="0" applyNumberFormat="1" applyFont="1" applyFill="1" applyBorder="1"/>
    <xf numFmtId="0" fontId="25" fillId="0" borderId="5" xfId="0" applyFont="1" applyBorder="1" applyAlignment="1">
      <alignment horizontal="left" vertical="top"/>
    </xf>
    <xf numFmtId="164" fontId="25" fillId="0" borderId="5" xfId="0" applyNumberFormat="1" applyFont="1" applyBorder="1" applyAlignment="1">
      <alignment horizontal="center" vertical="top"/>
    </xf>
    <xf numFmtId="4" fontId="25" fillId="0" borderId="5" xfId="0" applyNumberFormat="1" applyFont="1" applyBorder="1" applyAlignment="1">
      <alignment horizontal="right" vertical="top"/>
    </xf>
    <xf numFmtId="0" fontId="14" fillId="0" borderId="10" xfId="0" applyFont="1" applyBorder="1"/>
    <xf numFmtId="0" fontId="25" fillId="0" borderId="37" xfId="0" applyFont="1" applyBorder="1"/>
    <xf numFmtId="0" fontId="25" fillId="0" borderId="27" xfId="0" applyFont="1" applyBorder="1"/>
    <xf numFmtId="2" fontId="25" fillId="3" borderId="27" xfId="0" applyNumberFormat="1" applyFont="1" applyFill="1" applyBorder="1" applyAlignment="1">
      <alignment horizontal="center"/>
    </xf>
    <xf numFmtId="181" fontId="25" fillId="6" borderId="0" xfId="0" applyNumberFormat="1" applyFont="1" applyFill="1"/>
    <xf numFmtId="181" fontId="25" fillId="6" borderId="23" xfId="0" applyNumberFormat="1" applyFont="1" applyFill="1" applyBorder="1"/>
    <xf numFmtId="0" fontId="25" fillId="6" borderId="0" xfId="0" applyFont="1" applyFill="1"/>
    <xf numFmtId="0" fontId="25" fillId="4" borderId="0" xfId="0" applyFont="1" applyFill="1" applyAlignment="1">
      <alignment horizontal="center" vertical="top" wrapText="1"/>
    </xf>
    <xf numFmtId="0" fontId="5" fillId="0" borderId="10" xfId="0" applyFont="1" applyBorder="1" applyAlignment="1">
      <alignment horizontal="center"/>
    </xf>
    <xf numFmtId="4" fontId="5" fillId="10" borderId="39" xfId="0" applyNumberFormat="1" applyFont="1" applyFill="1" applyBorder="1"/>
    <xf numFmtId="0" fontId="13" fillId="6" borderId="0" xfId="0" applyFont="1" applyFill="1" applyAlignment="1">
      <alignment horizontal="center"/>
    </xf>
    <xf numFmtId="4" fontId="5" fillId="0" borderId="10" xfId="0" applyNumberFormat="1" applyFont="1" applyBorder="1" applyAlignment="1">
      <alignment horizontal="right" vertical="top"/>
    </xf>
    <xf numFmtId="0" fontId="14" fillId="4" borderId="0" xfId="0" applyFont="1" applyFill="1" applyAlignment="1">
      <alignment horizontal="left"/>
    </xf>
    <xf numFmtId="0" fontId="0" fillId="4" borderId="0" xfId="0" applyFill="1"/>
    <xf numFmtId="0" fontId="0" fillId="4" borderId="0" xfId="0" applyFill="1" applyAlignment="1">
      <alignment wrapText="1"/>
    </xf>
    <xf numFmtId="164" fontId="0" fillId="4" borderId="0" xfId="0" applyNumberFormat="1" applyFill="1"/>
    <xf numFmtId="0" fontId="40" fillId="4" borderId="0" xfId="0" applyFont="1" applyFill="1" applyAlignment="1">
      <alignment horizontal="center" wrapText="1"/>
    </xf>
    <xf numFmtId="0" fontId="41" fillId="3" borderId="6" xfId="0" applyFont="1" applyFill="1" applyBorder="1" applyAlignment="1">
      <alignment vertical="center" wrapText="1"/>
    </xf>
    <xf numFmtId="164" fontId="19" fillId="3" borderId="6" xfId="0" applyNumberFormat="1" applyFont="1" applyFill="1" applyBorder="1" applyAlignment="1">
      <alignment vertical="center" wrapText="1"/>
    </xf>
    <xf numFmtId="0" fontId="41" fillId="0" borderId="6" xfId="0" applyFont="1" applyBorder="1" applyAlignment="1">
      <alignment horizontal="left" vertical="center" wrapText="1"/>
    </xf>
    <xf numFmtId="164" fontId="0" fillId="0" borderId="6" xfId="0" applyNumberFormat="1" applyBorder="1" applyAlignment="1">
      <alignment horizontal="right" vertical="center"/>
    </xf>
    <xf numFmtId="164" fontId="19" fillId="0" borderId="6" xfId="0" applyNumberFormat="1" applyFont="1" applyBorder="1" applyAlignment="1">
      <alignment vertical="center"/>
    </xf>
    <xf numFmtId="164" fontId="19" fillId="0" borderId="6" xfId="0" applyNumberFormat="1" applyFont="1" applyBorder="1" applyAlignment="1">
      <alignment horizontal="right" vertical="center"/>
    </xf>
    <xf numFmtId="0" fontId="41" fillId="10" borderId="6" xfId="0" applyFont="1" applyFill="1" applyBorder="1" applyAlignment="1">
      <alignment horizontal="left" vertical="center" wrapText="1"/>
    </xf>
    <xf numFmtId="164" fontId="19" fillId="10" borderId="6" xfId="0" applyNumberFormat="1" applyFont="1" applyFill="1" applyBorder="1" applyAlignment="1">
      <alignment horizontal="right" vertical="center"/>
    </xf>
    <xf numFmtId="0" fontId="41" fillId="4" borderId="0" xfId="0" applyFont="1" applyFill="1" applyAlignment="1">
      <alignment horizontal="left" vertical="center" wrapText="1"/>
    </xf>
    <xf numFmtId="164" fontId="19" fillId="4" borderId="0" xfId="0" applyNumberFormat="1" applyFont="1" applyFill="1" applyAlignment="1">
      <alignment horizontal="right" vertical="center"/>
    </xf>
    <xf numFmtId="164" fontId="0" fillId="4" borderId="0" xfId="0" applyNumberFormat="1" applyFill="1" applyAlignment="1">
      <alignment vertical="center"/>
    </xf>
    <xf numFmtId="164" fontId="0" fillId="0" borderId="0" xfId="0" applyNumberFormat="1"/>
    <xf numFmtId="0" fontId="42" fillId="4" borderId="0" xfId="0" applyFont="1" applyFill="1" applyAlignment="1">
      <alignment horizontal="center"/>
    </xf>
    <xf numFmtId="0" fontId="29" fillId="6" borderId="7" xfId="0" applyFont="1" applyFill="1" applyBorder="1" applyAlignment="1">
      <alignment horizontal="left"/>
    </xf>
    <xf numFmtId="0" fontId="5" fillId="6" borderId="9" xfId="0" applyFont="1" applyFill="1" applyBorder="1" applyAlignment="1">
      <alignment horizontal="left"/>
    </xf>
    <xf numFmtId="0" fontId="5" fillId="6" borderId="41" xfId="0" applyFont="1" applyFill="1" applyBorder="1" applyAlignment="1">
      <alignment horizontal="center"/>
    </xf>
    <xf numFmtId="0" fontId="5" fillId="3" borderId="6" xfId="0" applyFont="1" applyFill="1" applyBorder="1" applyAlignment="1">
      <alignment horizontal="center"/>
    </xf>
    <xf numFmtId="0" fontId="29" fillId="8" borderId="6" xfId="0" applyFont="1" applyFill="1" applyBorder="1" applyAlignment="1">
      <alignment horizontal="center"/>
    </xf>
    <xf numFmtId="0" fontId="29" fillId="8" borderId="7" xfId="0" applyFont="1" applyFill="1" applyBorder="1" applyAlignment="1">
      <alignment horizontal="center"/>
    </xf>
    <xf numFmtId="4" fontId="29" fillId="0" borderId="42" xfId="0" applyNumberFormat="1" applyFont="1" applyBorder="1" applyAlignment="1">
      <alignment horizontal="center"/>
    </xf>
    <xf numFmtId="165" fontId="5" fillId="0" borderId="6" xfId="0" applyNumberFormat="1" applyFont="1" applyBorder="1" applyAlignment="1">
      <alignment horizontal="left"/>
    </xf>
    <xf numFmtId="165" fontId="5" fillId="9" borderId="42" xfId="0" applyNumberFormat="1" applyFont="1" applyFill="1" applyBorder="1"/>
    <xf numFmtId="4" fontId="5" fillId="0" borderId="37" xfId="0" applyNumberFormat="1" applyFont="1" applyBorder="1"/>
    <xf numFmtId="165" fontId="5" fillId="9" borderId="43" xfId="0" applyNumberFormat="1" applyFont="1" applyFill="1" applyBorder="1"/>
    <xf numFmtId="165" fontId="5" fillId="0" borderId="5" xfId="0" applyNumberFormat="1" applyFont="1" applyBorder="1"/>
    <xf numFmtId="0" fontId="5" fillId="6" borderId="8" xfId="0" applyFont="1" applyFill="1" applyBorder="1" applyAlignment="1">
      <alignment horizontal="left"/>
    </xf>
    <xf numFmtId="0" fontId="5" fillId="9" borderId="40" xfId="0" applyFont="1" applyFill="1" applyBorder="1" applyAlignment="1">
      <alignment horizontal="right"/>
    </xf>
    <xf numFmtId="184" fontId="5" fillId="9" borderId="26" xfId="0" applyNumberFormat="1" applyFont="1" applyFill="1" applyBorder="1"/>
    <xf numFmtId="0" fontId="5" fillId="16" borderId="6" xfId="0" applyFont="1" applyFill="1" applyBorder="1"/>
    <xf numFmtId="2" fontId="15" fillId="16" borderId="6" xfId="0" applyNumberFormat="1" applyFont="1" applyFill="1" applyBorder="1"/>
    <xf numFmtId="4" fontId="5" fillId="16" borderId="6" xfId="0" applyNumberFormat="1" applyFont="1" applyFill="1" applyBorder="1"/>
    <xf numFmtId="4" fontId="15" fillId="16" borderId="6" xfId="0" applyNumberFormat="1" applyFont="1" applyFill="1" applyBorder="1"/>
    <xf numFmtId="2" fontId="15" fillId="0" borderId="6" xfId="0" applyNumberFormat="1" applyFont="1" applyBorder="1"/>
    <xf numFmtId="4" fontId="15" fillId="0" borderId="6" xfId="0" applyNumberFormat="1" applyFont="1" applyBorder="1"/>
    <xf numFmtId="171" fontId="15" fillId="0" borderId="6" xfId="0" applyNumberFormat="1" applyFont="1" applyBorder="1"/>
    <xf numFmtId="4" fontId="15" fillId="10" borderId="5" xfId="0" applyNumberFormat="1" applyFont="1" applyFill="1" applyBorder="1"/>
    <xf numFmtId="4" fontId="15" fillId="4" borderId="0" xfId="0" applyNumberFormat="1" applyFont="1" applyFill="1"/>
    <xf numFmtId="170" fontId="29" fillId="6" borderId="7" xfId="0" applyNumberFormat="1" applyFont="1" applyFill="1" applyBorder="1" applyAlignment="1">
      <alignment horizontal="left"/>
    </xf>
    <xf numFmtId="170" fontId="5" fillId="6" borderId="9" xfId="0" applyNumberFormat="1" applyFont="1" applyFill="1" applyBorder="1" applyAlignment="1">
      <alignment horizontal="left"/>
    </xf>
    <xf numFmtId="170" fontId="5" fillId="6" borderId="8" xfId="0" applyNumberFormat="1" applyFont="1" applyFill="1" applyBorder="1" applyAlignment="1">
      <alignment horizontal="left"/>
    </xf>
    <xf numFmtId="182" fontId="29" fillId="8" borderId="6" xfId="0" applyNumberFormat="1" applyFont="1" applyFill="1" applyBorder="1" applyAlignment="1">
      <alignment horizontal="center"/>
    </xf>
    <xf numFmtId="182" fontId="29" fillId="8" borderId="7" xfId="0" applyNumberFormat="1" applyFont="1" applyFill="1" applyBorder="1" applyAlignment="1">
      <alignment horizontal="center"/>
    </xf>
    <xf numFmtId="0" fontId="5" fillId="0" borderId="41" xfId="0" applyFont="1" applyBorder="1" applyAlignment="1">
      <alignment horizontal="center"/>
    </xf>
    <xf numFmtId="170" fontId="5" fillId="0" borderId="6" xfId="0" applyNumberFormat="1" applyFont="1" applyBorder="1" applyAlignment="1">
      <alignment horizontal="center"/>
    </xf>
    <xf numFmtId="170" fontId="15" fillId="0" borderId="6" xfId="0" applyNumberFormat="1" applyFont="1" applyBorder="1" applyAlignment="1">
      <alignment horizontal="center"/>
    </xf>
    <xf numFmtId="170" fontId="5" fillId="0" borderId="7" xfId="0" applyNumberFormat="1" applyFont="1" applyBorder="1" applyAlignment="1">
      <alignment horizontal="center"/>
    </xf>
    <xf numFmtId="4" fontId="5" fillId="0" borderId="42" xfId="0" applyNumberFormat="1" applyFont="1" applyBorder="1" applyAlignment="1">
      <alignment horizontal="center"/>
    </xf>
    <xf numFmtId="170" fontId="5" fillId="0" borderId="6" xfId="0" applyNumberFormat="1" applyFont="1" applyBorder="1"/>
    <xf numFmtId="170" fontId="5" fillId="0" borderId="7" xfId="0" applyNumberFormat="1" applyFont="1" applyBorder="1"/>
    <xf numFmtId="4" fontId="15" fillId="9" borderId="44" xfId="0" applyNumberFormat="1" applyFont="1" applyFill="1" applyBorder="1"/>
    <xf numFmtId="4" fontId="5" fillId="9" borderId="42" xfId="0" applyNumberFormat="1" applyFont="1" applyFill="1" applyBorder="1"/>
    <xf numFmtId="4" fontId="5" fillId="9" borderId="43" xfId="0" applyNumberFormat="1" applyFont="1" applyFill="1" applyBorder="1"/>
    <xf numFmtId="170" fontId="5" fillId="0" borderId="10" xfId="0" applyNumberFormat="1" applyFont="1" applyBorder="1"/>
    <xf numFmtId="170" fontId="5" fillId="10" borderId="5" xfId="0" applyNumberFormat="1" applyFont="1" applyFill="1" applyBorder="1"/>
    <xf numFmtId="4" fontId="15" fillId="10" borderId="11" xfId="0" applyNumberFormat="1" applyFont="1" applyFill="1" applyBorder="1"/>
    <xf numFmtId="10" fontId="5" fillId="4" borderId="0" xfId="0" applyNumberFormat="1" applyFont="1" applyFill="1"/>
    <xf numFmtId="186" fontId="5" fillId="0" borderId="6" xfId="0" applyNumberFormat="1" applyFont="1" applyBorder="1" applyAlignment="1">
      <alignment horizontal="right"/>
    </xf>
    <xf numFmtId="186" fontId="5" fillId="0" borderId="6" xfId="0" applyNumberFormat="1" applyFont="1" applyBorder="1"/>
    <xf numFmtId="186" fontId="5" fillId="0" borderId="10" xfId="0" applyNumberFormat="1" applyFont="1" applyBorder="1" applyAlignment="1">
      <alignment horizontal="right"/>
    </xf>
    <xf numFmtId="186" fontId="5" fillId="0" borderId="10" xfId="0" applyNumberFormat="1" applyFont="1" applyBorder="1"/>
    <xf numFmtId="186" fontId="5" fillId="10" borderId="5" xfId="0" applyNumberFormat="1" applyFont="1" applyFill="1" applyBorder="1"/>
    <xf numFmtId="170" fontId="5" fillId="4" borderId="0" xfId="0" applyNumberFormat="1" applyFont="1" applyFill="1"/>
    <xf numFmtId="0" fontId="5" fillId="3" borderId="45" xfId="0" applyFont="1" applyFill="1" applyBorder="1"/>
    <xf numFmtId="10" fontId="15" fillId="0" borderId="46" xfId="0" applyNumberFormat="1" applyFont="1" applyBorder="1"/>
    <xf numFmtId="0" fontId="5" fillId="3" borderId="29" xfId="0" applyFont="1" applyFill="1" applyBorder="1"/>
    <xf numFmtId="181" fontId="15" fillId="0" borderId="28" xfId="0" applyNumberFormat="1" applyFont="1" applyBorder="1"/>
    <xf numFmtId="1" fontId="5" fillId="4" borderId="0" xfId="0" applyNumberFormat="1" applyFont="1" applyFill="1"/>
    <xf numFmtId="0" fontId="5" fillId="3" borderId="47" xfId="0" applyFont="1" applyFill="1" applyBorder="1"/>
    <xf numFmtId="10" fontId="15" fillId="0" borderId="48" xfId="0" applyNumberFormat="1" applyFont="1" applyBorder="1"/>
    <xf numFmtId="4" fontId="5" fillId="4" borderId="13" xfId="0" applyNumberFormat="1" applyFont="1" applyFill="1" applyBorder="1" applyAlignment="1">
      <alignment horizontal="center"/>
    </xf>
    <xf numFmtId="165" fontId="5" fillId="3" borderId="8" xfId="0" applyNumberFormat="1" applyFont="1" applyFill="1" applyBorder="1"/>
    <xf numFmtId="165" fontId="5" fillId="3" borderId="14" xfId="0" applyNumberFormat="1" applyFont="1" applyFill="1" applyBorder="1"/>
    <xf numFmtId="3" fontId="5" fillId="10" borderId="6" xfId="0" applyNumberFormat="1" applyFont="1" applyFill="1" applyBorder="1" applyAlignment="1">
      <alignment horizontal="right"/>
    </xf>
    <xf numFmtId="0" fontId="5" fillId="0" borderId="19" xfId="0" applyFont="1" applyBorder="1" applyAlignment="1">
      <alignment horizontal="center" wrapText="1"/>
    </xf>
    <xf numFmtId="0" fontId="5" fillId="0" borderId="19" xfId="0" applyFont="1" applyBorder="1" applyAlignment="1">
      <alignment horizontal="center"/>
    </xf>
    <xf numFmtId="165" fontId="5" fillId="0" borderId="19" xfId="0" applyNumberFormat="1" applyFont="1" applyBorder="1" applyAlignment="1">
      <alignment horizontal="center"/>
    </xf>
    <xf numFmtId="165" fontId="14" fillId="9" borderId="46" xfId="0" applyNumberFormat="1" applyFont="1" applyFill="1" applyBorder="1" applyAlignment="1">
      <alignment horizontal="center"/>
    </xf>
    <xf numFmtId="165" fontId="15" fillId="9" borderId="28" xfId="0" applyNumberFormat="1" applyFont="1" applyFill="1" applyBorder="1" applyAlignment="1">
      <alignment horizontal="center"/>
    </xf>
    <xf numFmtId="0" fontId="5" fillId="0" borderId="10" xfId="0" applyFont="1" applyBorder="1" applyAlignment="1">
      <alignment horizontal="left" wrapText="1"/>
    </xf>
    <xf numFmtId="10" fontId="5" fillId="0" borderId="10" xfId="0" applyNumberFormat="1" applyFont="1" applyBorder="1" applyAlignment="1">
      <alignment horizontal="center"/>
    </xf>
    <xf numFmtId="3" fontId="5" fillId="0" borderId="10" xfId="0" applyNumberFormat="1" applyFont="1" applyBorder="1"/>
    <xf numFmtId="165" fontId="5" fillId="0" borderId="10" xfId="0" applyNumberFormat="1" applyFont="1" applyBorder="1"/>
    <xf numFmtId="2" fontId="5" fillId="0" borderId="10" xfId="0" applyNumberFormat="1" applyFont="1" applyBorder="1"/>
    <xf numFmtId="165" fontId="15" fillId="9" borderId="49" xfId="0" applyNumberFormat="1" applyFont="1" applyFill="1" applyBorder="1" applyAlignment="1">
      <alignment horizontal="center"/>
    </xf>
    <xf numFmtId="165" fontId="44" fillId="4" borderId="0" xfId="0" applyNumberFormat="1" applyFont="1" applyFill="1"/>
    <xf numFmtId="2" fontId="7" fillId="4" borderId="0" xfId="0" applyNumberFormat="1" applyFont="1" applyFill="1" applyAlignment="1">
      <alignment horizontal="left"/>
    </xf>
    <xf numFmtId="2" fontId="5" fillId="4" borderId="0" xfId="0" applyNumberFormat="1" applyFont="1" applyFill="1" applyAlignment="1">
      <alignment horizontal="left"/>
    </xf>
    <xf numFmtId="2" fontId="45" fillId="3" borderId="6" xfId="0" applyNumberFormat="1" applyFont="1" applyFill="1" applyBorder="1" applyAlignment="1">
      <alignment wrapText="1"/>
    </xf>
    <xf numFmtId="2" fontId="9" fillId="3" borderId="6" xfId="0" applyNumberFormat="1" applyFont="1" applyFill="1" applyBorder="1" applyAlignment="1">
      <alignment wrapText="1"/>
    </xf>
    <xf numFmtId="2" fontId="32" fillId="0" borderId="6" xfId="0" applyNumberFormat="1" applyFont="1" applyBorder="1" applyAlignment="1">
      <alignment horizontal="center" vertical="top" wrapText="1"/>
    </xf>
    <xf numFmtId="165" fontId="5" fillId="0" borderId="6" xfId="0" applyNumberFormat="1" applyFont="1" applyBorder="1" applyAlignment="1">
      <alignment horizontal="center" vertical="top" wrapText="1"/>
    </xf>
    <xf numFmtId="165" fontId="44" fillId="0" borderId="6" xfId="0" applyNumberFormat="1" applyFont="1" applyBorder="1" applyAlignment="1">
      <alignment horizontal="center" vertical="top" wrapText="1"/>
    </xf>
    <xf numFmtId="165" fontId="32" fillId="0" borderId="50" xfId="0" applyNumberFormat="1" applyFont="1" applyBorder="1" applyAlignment="1">
      <alignment horizontal="center"/>
    </xf>
    <xf numFmtId="165" fontId="44" fillId="6" borderId="10" xfId="0" applyNumberFormat="1" applyFont="1" applyFill="1" applyBorder="1"/>
    <xf numFmtId="165" fontId="32" fillId="0" borderId="10" xfId="0" applyNumberFormat="1" applyFont="1" applyBorder="1" applyAlignment="1">
      <alignment horizontal="center"/>
    </xf>
    <xf numFmtId="0" fontId="5" fillId="0" borderId="51" xfId="0" applyFont="1" applyBorder="1" applyAlignment="1">
      <alignment horizontal="left" wrapText="1"/>
    </xf>
    <xf numFmtId="0" fontId="5" fillId="0" borderId="36" xfId="0" applyFont="1" applyBorder="1" applyAlignment="1">
      <alignment horizontal="left" wrapText="1"/>
    </xf>
    <xf numFmtId="187" fontId="5" fillId="10" borderId="5" xfId="0" applyNumberFormat="1" applyFont="1" applyFill="1" applyBorder="1" applyAlignment="1">
      <alignment wrapText="1"/>
    </xf>
    <xf numFmtId="2" fontId="5" fillId="10" borderId="5" xfId="0" applyNumberFormat="1" applyFont="1" applyFill="1" applyBorder="1" applyAlignment="1">
      <alignment wrapText="1"/>
    </xf>
    <xf numFmtId="165" fontId="44" fillId="10" borderId="39" xfId="0" applyNumberFormat="1" applyFont="1" applyFill="1" applyBorder="1"/>
    <xf numFmtId="2" fontId="32" fillId="6" borderId="24" xfId="0" applyNumberFormat="1" applyFont="1" applyFill="1" applyBorder="1" applyAlignment="1">
      <alignment wrapText="1"/>
    </xf>
    <xf numFmtId="2" fontId="5" fillId="6" borderId="24" xfId="0" applyNumberFormat="1" applyFont="1" applyFill="1" applyBorder="1" applyAlignment="1">
      <alignment wrapText="1"/>
    </xf>
    <xf numFmtId="165" fontId="5" fillId="6" borderId="24" xfId="0" applyNumberFormat="1" applyFont="1" applyFill="1" applyBorder="1"/>
    <xf numFmtId="165" fontId="44" fillId="6" borderId="24" xfId="0" applyNumberFormat="1" applyFont="1" applyFill="1" applyBorder="1"/>
    <xf numFmtId="165" fontId="32" fillId="6" borderId="24" xfId="0" applyNumberFormat="1" applyFont="1" applyFill="1" applyBorder="1"/>
    <xf numFmtId="0" fontId="5" fillId="0" borderId="52" xfId="0" applyFont="1" applyBorder="1" applyAlignment="1">
      <alignment horizontal="left" wrapText="1"/>
    </xf>
    <xf numFmtId="0" fontId="5" fillId="0" borderId="39" xfId="0" applyFont="1" applyBorder="1" applyAlignment="1">
      <alignment horizontal="left" wrapText="1"/>
    </xf>
    <xf numFmtId="0" fontId="38" fillId="0" borderId="0" xfId="2" applyBorder="1" applyProtection="1"/>
    <xf numFmtId="170" fontId="25" fillId="17" borderId="23" xfId="0" applyNumberFormat="1" applyFont="1" applyFill="1" applyBorder="1" applyAlignment="1">
      <alignment horizontal="right"/>
    </xf>
    <xf numFmtId="170" fontId="25" fillId="17" borderId="14" xfId="0" applyNumberFormat="1" applyFont="1" applyFill="1" applyBorder="1" applyAlignment="1">
      <alignment horizontal="right"/>
    </xf>
    <xf numFmtId="4" fontId="25" fillId="18" borderId="6" xfId="0" applyNumberFormat="1" applyFont="1" applyFill="1" applyBorder="1" applyAlignment="1">
      <alignment horizontal="right"/>
    </xf>
    <xf numFmtId="4" fontId="25" fillId="18" borderId="6" xfId="0" applyNumberFormat="1" applyFont="1" applyFill="1" applyBorder="1"/>
    <xf numFmtId="0" fontId="50" fillId="4" borderId="0" xfId="0" applyFont="1" applyFill="1"/>
    <xf numFmtId="0" fontId="51" fillId="4" borderId="0" xfId="0" applyFont="1" applyFill="1"/>
    <xf numFmtId="43" fontId="25" fillId="0" borderId="5" xfId="3" applyFont="1" applyBorder="1" applyAlignment="1">
      <alignment horizontal="right" vertical="top" wrapText="1"/>
    </xf>
    <xf numFmtId="165" fontId="5" fillId="4" borderId="13" xfId="0" applyNumberFormat="1" applyFont="1" applyFill="1" applyBorder="1" applyAlignment="1">
      <alignment horizontal="center"/>
    </xf>
    <xf numFmtId="0" fontId="51" fillId="0" borderId="47" xfId="0" applyFont="1" applyBorder="1" applyAlignment="1">
      <alignment horizontal="left" wrapText="1"/>
    </xf>
    <xf numFmtId="10" fontId="52" fillId="19" borderId="6" xfId="4" applyNumberFormat="1" applyBorder="1"/>
    <xf numFmtId="180" fontId="14" fillId="9" borderId="48" xfId="0" applyNumberFormat="1" applyFont="1" applyFill="1" applyBorder="1" applyAlignment="1">
      <alignment horizontal="center"/>
    </xf>
    <xf numFmtId="188" fontId="32" fillId="10" borderId="5" xfId="0" applyNumberFormat="1" applyFont="1" applyFill="1" applyBorder="1" applyAlignment="1">
      <alignment wrapText="1"/>
    </xf>
    <xf numFmtId="180" fontId="32" fillId="0" borderId="25" xfId="0" applyNumberFormat="1" applyFont="1" applyBorder="1"/>
    <xf numFmtId="2" fontId="32" fillId="6" borderId="0" xfId="0" applyNumberFormat="1" applyFont="1" applyFill="1" applyAlignment="1">
      <alignment vertical="top" wrapText="1"/>
    </xf>
    <xf numFmtId="2" fontId="22" fillId="6" borderId="0" xfId="0" applyNumberFormat="1" applyFont="1" applyFill="1" applyAlignment="1">
      <alignment vertical="top" wrapText="1"/>
    </xf>
    <xf numFmtId="165" fontId="44" fillId="6" borderId="0" xfId="0" applyNumberFormat="1" applyFont="1" applyFill="1"/>
    <xf numFmtId="188" fontId="32" fillId="10" borderId="54" xfId="0" applyNumberFormat="1" applyFont="1" applyFill="1" applyBorder="1" applyAlignment="1">
      <alignment wrapText="1"/>
    </xf>
    <xf numFmtId="2" fontId="5" fillId="10" borderId="54" xfId="0" applyNumberFormat="1" applyFont="1" applyFill="1" applyBorder="1" applyAlignment="1">
      <alignment wrapText="1"/>
    </xf>
    <xf numFmtId="165" fontId="44" fillId="10" borderId="54" xfId="0" applyNumberFormat="1" applyFont="1" applyFill="1" applyBorder="1"/>
    <xf numFmtId="165" fontId="44" fillId="10" borderId="55" xfId="0" applyNumberFormat="1" applyFont="1" applyFill="1" applyBorder="1"/>
    <xf numFmtId="180" fontId="32" fillId="0" borderId="56" xfId="0" applyNumberFormat="1" applyFont="1" applyBorder="1"/>
    <xf numFmtId="165" fontId="32" fillId="6" borderId="57" xfId="0" applyNumberFormat="1" applyFont="1" applyFill="1" applyBorder="1"/>
    <xf numFmtId="188" fontId="32" fillId="10" borderId="58" xfId="0" applyNumberFormat="1" applyFont="1" applyFill="1" applyBorder="1" applyAlignment="1">
      <alignment wrapText="1"/>
    </xf>
    <xf numFmtId="2" fontId="5" fillId="10" borderId="58" xfId="0" applyNumberFormat="1" applyFont="1" applyFill="1" applyBorder="1" applyAlignment="1">
      <alignment wrapText="1"/>
    </xf>
    <xf numFmtId="190" fontId="5" fillId="4" borderId="0" xfId="0" applyNumberFormat="1" applyFont="1" applyFill="1"/>
    <xf numFmtId="184" fontId="44" fillId="10" borderId="5" xfId="0" applyNumberFormat="1" applyFont="1" applyFill="1" applyBorder="1"/>
    <xf numFmtId="179" fontId="8" fillId="0" borderId="6" xfId="0" applyNumberFormat="1" applyFont="1" applyBorder="1" applyAlignment="1">
      <alignment horizontal="center"/>
    </xf>
    <xf numFmtId="3" fontId="5" fillId="20" borderId="10" xfId="0" applyNumberFormat="1" applyFont="1" applyFill="1" applyBorder="1"/>
    <xf numFmtId="0" fontId="5" fillId="17" borderId="39" xfId="0" applyFont="1" applyFill="1" applyBorder="1" applyAlignment="1">
      <alignment horizontal="right"/>
    </xf>
    <xf numFmtId="184" fontId="5" fillId="17" borderId="14" xfId="0" applyNumberFormat="1" applyFont="1" applyFill="1" applyBorder="1"/>
    <xf numFmtId="191" fontId="14" fillId="9" borderId="48" xfId="5" applyNumberFormat="1" applyFont="1" applyFill="1" applyBorder="1" applyAlignment="1">
      <alignment horizontal="center"/>
    </xf>
    <xf numFmtId="180" fontId="32" fillId="0" borderId="30" xfId="0" applyNumberFormat="1" applyFont="1" applyBorder="1"/>
    <xf numFmtId="165" fontId="44" fillId="10" borderId="6" xfId="0" applyNumberFormat="1" applyFont="1" applyFill="1" applyBorder="1"/>
    <xf numFmtId="177" fontId="5" fillId="9" borderId="6" xfId="0" applyNumberFormat="1" applyFont="1" applyFill="1" applyBorder="1" applyAlignment="1">
      <alignment horizontal="right"/>
    </xf>
    <xf numFmtId="164" fontId="8" fillId="20" borderId="6" xfId="0" applyNumberFormat="1" applyFont="1" applyFill="1" applyBorder="1" applyAlignment="1">
      <alignment horizontal="center"/>
    </xf>
    <xf numFmtId="167" fontId="51" fillId="0" borderId="6" xfId="0" applyNumberFormat="1" applyFont="1" applyBorder="1"/>
    <xf numFmtId="0" fontId="57" fillId="4" borderId="0" xfId="0" applyFont="1" applyFill="1" applyAlignment="1">
      <alignment horizontal="left"/>
    </xf>
    <xf numFmtId="0" fontId="47" fillId="0" borderId="6" xfId="0" applyFont="1" applyBorder="1" applyAlignment="1">
      <alignment horizontal="left"/>
    </xf>
    <xf numFmtId="0" fontId="5" fillId="21" borderId="0" xfId="0" applyFont="1" applyFill="1"/>
    <xf numFmtId="188" fontId="9" fillId="22" borderId="29" xfId="0" applyNumberFormat="1" applyFont="1" applyFill="1" applyBorder="1"/>
    <xf numFmtId="0" fontId="59" fillId="24" borderId="0" xfId="0" applyFont="1" applyFill="1"/>
    <xf numFmtId="0" fontId="60" fillId="25" borderId="60" xfId="0" applyFont="1" applyFill="1" applyBorder="1"/>
    <xf numFmtId="0" fontId="60" fillId="25" borderId="60" xfId="0" applyFont="1" applyFill="1" applyBorder="1" applyAlignment="1">
      <alignment horizontal="center" vertical="top" wrapText="1"/>
    </xf>
    <xf numFmtId="3" fontId="61" fillId="0" borderId="60" xfId="0" applyNumberFormat="1" applyFont="1" applyBorder="1" applyAlignment="1">
      <alignment horizontal="center"/>
    </xf>
    <xf numFmtId="0" fontId="59" fillId="24" borderId="0" xfId="0" applyFont="1" applyFill="1" applyAlignment="1">
      <alignment horizontal="justify" vertical="top" wrapText="1"/>
    </xf>
    <xf numFmtId="0" fontId="60" fillId="25" borderId="60" xfId="0" applyFont="1" applyFill="1" applyBorder="1" applyAlignment="1">
      <alignment horizontal="center" vertical="center"/>
    </xf>
    <xf numFmtId="0" fontId="58" fillId="23" borderId="60" xfId="0" applyFont="1" applyFill="1" applyBorder="1" applyAlignment="1">
      <alignment horizontal="left"/>
    </xf>
    <xf numFmtId="164" fontId="5" fillId="11" borderId="6" xfId="0" applyNumberFormat="1" applyFont="1" applyFill="1" applyBorder="1"/>
    <xf numFmtId="43" fontId="5" fillId="4" borderId="0" xfId="3" applyFont="1" applyFill="1"/>
    <xf numFmtId="173" fontId="8" fillId="0" borderId="6" xfId="0" applyNumberFormat="1" applyFont="1" applyBorder="1" applyAlignment="1">
      <alignment horizontal="center"/>
    </xf>
    <xf numFmtId="4" fontId="5" fillId="10" borderId="5" xfId="0" applyNumberFormat="1" applyFont="1" applyFill="1" applyBorder="1" applyAlignment="1">
      <alignment horizontal="center"/>
    </xf>
    <xf numFmtId="4" fontId="5" fillId="10" borderId="6" xfId="0" applyNumberFormat="1" applyFont="1" applyFill="1" applyBorder="1" applyAlignment="1">
      <alignment horizontal="right" vertical="top"/>
    </xf>
    <xf numFmtId="4" fontId="5" fillId="10" borderId="5" xfId="0" applyNumberFormat="1" applyFont="1" applyFill="1" applyBorder="1" applyAlignment="1">
      <alignment horizontal="right"/>
    </xf>
    <xf numFmtId="43" fontId="8" fillId="0" borderId="6" xfId="3" applyFont="1" applyBorder="1" applyAlignment="1">
      <alignment horizontal="center"/>
    </xf>
    <xf numFmtId="0" fontId="15" fillId="3" borderId="6" xfId="0" applyFont="1" applyFill="1" applyBorder="1" applyAlignment="1">
      <alignment horizontal="center" wrapText="1"/>
    </xf>
    <xf numFmtId="0" fontId="15" fillId="3" borderId="39" xfId="0" applyFont="1" applyFill="1" applyBorder="1" applyAlignment="1">
      <alignment wrapText="1"/>
    </xf>
    <xf numFmtId="0" fontId="66" fillId="0" borderId="11" xfId="0" applyFont="1" applyBorder="1" applyAlignment="1">
      <alignment horizontal="left" vertical="top" wrapText="1"/>
    </xf>
    <xf numFmtId="0" fontId="15" fillId="3" borderId="62" xfId="0" applyFont="1" applyFill="1" applyBorder="1" applyAlignment="1">
      <alignment wrapText="1"/>
    </xf>
    <xf numFmtId="4" fontId="8" fillId="10" borderId="42" xfId="0" applyNumberFormat="1" applyFont="1" applyFill="1" applyBorder="1" applyAlignment="1">
      <alignment horizontal="center"/>
    </xf>
    <xf numFmtId="4" fontId="8" fillId="10" borderId="43" xfId="0" applyNumberFormat="1" applyFont="1" applyFill="1" applyBorder="1" applyAlignment="1">
      <alignment horizontal="center"/>
    </xf>
    <xf numFmtId="0" fontId="64" fillId="0" borderId="6" xfId="0" applyFont="1" applyBorder="1" applyAlignment="1">
      <alignment horizontal="left"/>
    </xf>
    <xf numFmtId="0" fontId="64" fillId="0" borderId="6" xfId="0" applyFont="1" applyBorder="1"/>
    <xf numFmtId="0" fontId="68" fillId="0" borderId="6" xfId="0" applyFont="1" applyBorder="1" applyAlignment="1">
      <alignment horizontal="center"/>
    </xf>
    <xf numFmtId="3" fontId="68" fillId="0" borderId="6" xfId="0" applyNumberFormat="1" applyFont="1" applyBorder="1" applyAlignment="1">
      <alignment horizontal="center" wrapText="1"/>
    </xf>
    <xf numFmtId="3" fontId="68" fillId="0" borderId="3" xfId="0" applyNumberFormat="1" applyFont="1" applyBorder="1" applyAlignment="1">
      <alignment horizontal="center" wrapText="1"/>
    </xf>
    <xf numFmtId="0" fontId="68" fillId="6" borderId="6" xfId="0" applyFont="1" applyFill="1" applyBorder="1" applyAlignment="1">
      <alignment horizontal="right"/>
    </xf>
    <xf numFmtId="3" fontId="68" fillId="6" borderId="6" xfId="0" applyNumberFormat="1" applyFont="1" applyFill="1" applyBorder="1" applyAlignment="1">
      <alignment horizontal="center"/>
    </xf>
    <xf numFmtId="0" fontId="51" fillId="0" borderId="6" xfId="0" applyFont="1" applyBorder="1" applyAlignment="1">
      <alignment horizontal="center" vertical="center" wrapText="1"/>
    </xf>
    <xf numFmtId="164" fontId="51" fillId="28" borderId="6" xfId="0" applyNumberFormat="1" applyFont="1" applyFill="1" applyBorder="1" applyAlignment="1">
      <alignment horizontal="left" vertical="center" wrapText="1"/>
    </xf>
    <xf numFmtId="164" fontId="51" fillId="29" borderId="6" xfId="0" applyNumberFormat="1" applyFont="1" applyFill="1" applyBorder="1" applyAlignment="1">
      <alignment horizontal="left" vertical="center" wrapText="1"/>
    </xf>
    <xf numFmtId="164" fontId="51" fillId="30" borderId="6" xfId="0" applyNumberFormat="1" applyFont="1" applyFill="1" applyBorder="1" applyAlignment="1">
      <alignment horizontal="center" vertical="center" wrapText="1"/>
    </xf>
    <xf numFmtId="165" fontId="51" fillId="28" borderId="6" xfId="0" applyNumberFormat="1" applyFont="1" applyFill="1" applyBorder="1" applyAlignment="1">
      <alignment horizontal="left" wrapText="1"/>
    </xf>
    <xf numFmtId="4" fontId="51" fillId="28" borderId="6" xfId="0" applyNumberFormat="1" applyFont="1" applyFill="1" applyBorder="1" applyAlignment="1">
      <alignment wrapText="1"/>
    </xf>
    <xf numFmtId="164" fontId="51" fillId="29" borderId="6" xfId="0" applyNumberFormat="1" applyFont="1" applyFill="1" applyBorder="1" applyAlignment="1">
      <alignment wrapText="1"/>
    </xf>
    <xf numFmtId="164" fontId="51" fillId="30" borderId="6" xfId="0" applyNumberFormat="1" applyFont="1" applyFill="1" applyBorder="1" applyAlignment="1">
      <alignment horizontal="left" wrapText="1"/>
    </xf>
    <xf numFmtId="164" fontId="51" fillId="20" borderId="6" xfId="0" applyNumberFormat="1" applyFont="1" applyFill="1" applyBorder="1" applyAlignment="1">
      <alignment horizontal="center" vertical="center" wrapText="1"/>
    </xf>
    <xf numFmtId="164" fontId="51" fillId="20" borderId="0" xfId="0" applyNumberFormat="1" applyFont="1" applyFill="1" applyAlignment="1">
      <alignment wrapText="1"/>
    </xf>
    <xf numFmtId="164" fontId="51" fillId="10" borderId="10" xfId="0" applyNumberFormat="1" applyFont="1" applyFill="1" applyBorder="1"/>
    <xf numFmtId="168" fontId="69" fillId="6" borderId="6" xfId="0" applyNumberFormat="1" applyFont="1" applyFill="1" applyBorder="1"/>
    <xf numFmtId="168" fontId="51" fillId="6" borderId="6" xfId="0" applyNumberFormat="1" applyFont="1" applyFill="1" applyBorder="1"/>
    <xf numFmtId="168" fontId="70" fillId="6" borderId="6" xfId="0" applyNumberFormat="1" applyFont="1" applyFill="1" applyBorder="1"/>
    <xf numFmtId="168" fontId="44" fillId="6" borderId="6" xfId="0" applyNumberFormat="1" applyFont="1" applyFill="1" applyBorder="1"/>
    <xf numFmtId="9" fontId="51" fillId="6" borderId="6" xfId="1" applyFont="1" applyFill="1" applyBorder="1" applyProtection="1"/>
    <xf numFmtId="164" fontId="51" fillId="10" borderId="8" xfId="0" applyNumberFormat="1" applyFont="1" applyFill="1" applyBorder="1"/>
    <xf numFmtId="164" fontId="51" fillId="10" borderId="26" xfId="0" applyNumberFormat="1" applyFont="1" applyFill="1" applyBorder="1"/>
    <xf numFmtId="44" fontId="5" fillId="0" borderId="6" xfId="5" applyFont="1" applyBorder="1"/>
    <xf numFmtId="9" fontId="47" fillId="32" borderId="0" xfId="1" applyFill="1" applyBorder="1"/>
    <xf numFmtId="0" fontId="5" fillId="31" borderId="0" xfId="0" applyFont="1" applyFill="1"/>
    <xf numFmtId="164" fontId="5" fillId="31" borderId="0" xfId="0" applyNumberFormat="1" applyFont="1" applyFill="1" applyAlignment="1">
      <alignment horizontal="center"/>
    </xf>
    <xf numFmtId="9" fontId="47" fillId="32" borderId="0" xfId="1" applyFill="1"/>
    <xf numFmtId="0" fontId="8" fillId="31" borderId="0" xfId="0" applyFont="1" applyFill="1" applyAlignment="1">
      <alignment horizontal="center"/>
    </xf>
    <xf numFmtId="164" fontId="5" fillId="31" borderId="0" xfId="0" applyNumberFormat="1" applyFont="1" applyFill="1"/>
    <xf numFmtId="0" fontId="71" fillId="23" borderId="60" xfId="0" applyFont="1" applyFill="1" applyBorder="1" applyAlignment="1">
      <alignment horizontal="left"/>
    </xf>
    <xf numFmtId="0" fontId="7" fillId="6" borderId="0" xfId="0" applyFont="1" applyFill="1" applyAlignment="1">
      <alignment horizontal="left"/>
    </xf>
    <xf numFmtId="0" fontId="15" fillId="14" borderId="0" xfId="0" applyFont="1" applyFill="1"/>
    <xf numFmtId="165" fontId="8" fillId="9" borderId="0" xfId="0" applyNumberFormat="1" applyFont="1" applyFill="1" applyAlignment="1">
      <alignment horizontal="center"/>
    </xf>
    <xf numFmtId="3" fontId="62" fillId="0" borderId="60" xfId="0" applyNumberFormat="1" applyFont="1" applyBorder="1" applyAlignment="1">
      <alignment horizontal="center"/>
    </xf>
    <xf numFmtId="164" fontId="68" fillId="0" borderId="6" xfId="0" applyNumberFormat="1" applyFont="1" applyBorder="1"/>
    <xf numFmtId="174" fontId="68" fillId="0" borderId="6" xfId="0" applyNumberFormat="1" applyFont="1" applyBorder="1" applyAlignment="1">
      <alignment horizontal="center"/>
    </xf>
    <xf numFmtId="165" fontId="68" fillId="9" borderId="6" xfId="0" applyNumberFormat="1" applyFont="1" applyFill="1" applyBorder="1" applyAlignment="1">
      <alignment horizontal="center"/>
    </xf>
    <xf numFmtId="165" fontId="5" fillId="0" borderId="10" xfId="0" applyNumberFormat="1" applyFont="1" applyBorder="1" applyAlignment="1">
      <alignment horizontal="center"/>
    </xf>
    <xf numFmtId="188" fontId="5" fillId="10" borderId="5" xfId="0" applyNumberFormat="1" applyFont="1" applyFill="1" applyBorder="1" applyAlignment="1">
      <alignment wrapText="1"/>
    </xf>
    <xf numFmtId="3" fontId="5" fillId="0" borderId="10" xfId="0" applyNumberFormat="1" applyFont="1" applyBorder="1" applyAlignment="1">
      <alignment horizontal="center"/>
    </xf>
    <xf numFmtId="0" fontId="74" fillId="33" borderId="0" xfId="0" applyFont="1" applyFill="1" applyAlignment="1">
      <alignment horizontal="justify" vertical="center"/>
    </xf>
    <xf numFmtId="0" fontId="72" fillId="33" borderId="0" xfId="0" applyFont="1" applyFill="1" applyAlignment="1">
      <alignment wrapText="1"/>
    </xf>
    <xf numFmtId="0" fontId="60" fillId="18" borderId="0" xfId="0" applyFont="1" applyFill="1"/>
    <xf numFmtId="0" fontId="60" fillId="18" borderId="0" xfId="0" applyFont="1" applyFill="1" applyAlignment="1">
      <alignment wrapText="1"/>
    </xf>
    <xf numFmtId="0" fontId="75" fillId="33" borderId="0" xfId="0" applyFont="1" applyFill="1" applyAlignment="1">
      <alignment wrapText="1"/>
    </xf>
    <xf numFmtId="0" fontId="72" fillId="18" borderId="0" xfId="0" applyFont="1" applyFill="1"/>
    <xf numFmtId="0" fontId="75" fillId="27" borderId="0" xfId="0" applyFont="1" applyFill="1" applyAlignment="1">
      <alignment wrapText="1"/>
    </xf>
    <xf numFmtId="0" fontId="77" fillId="33" borderId="0" xfId="0" applyFont="1" applyFill="1" applyAlignment="1">
      <alignment horizontal="justify" vertical="center"/>
    </xf>
    <xf numFmtId="0" fontId="73" fillId="27" borderId="0" xfId="0" applyFont="1" applyFill="1" applyAlignment="1">
      <alignment horizontal="justify" vertical="center"/>
    </xf>
    <xf numFmtId="0" fontId="74" fillId="27" borderId="0" xfId="0" applyFont="1" applyFill="1" applyAlignment="1">
      <alignment horizontal="justify" vertical="center"/>
    </xf>
    <xf numFmtId="0" fontId="74" fillId="27" borderId="0" xfId="0" applyFont="1" applyFill="1" applyAlignment="1">
      <alignment horizontal="left" vertical="center" indent="6"/>
    </xf>
    <xf numFmtId="0" fontId="78" fillId="34" borderId="63" xfId="0" applyFont="1" applyFill="1" applyBorder="1" applyAlignment="1">
      <alignment horizontal="center" vertical="center" wrapText="1"/>
    </xf>
    <xf numFmtId="0" fontId="78" fillId="0" borderId="64" xfId="0" applyFont="1" applyBorder="1" applyAlignment="1">
      <alignment vertical="center" wrapText="1"/>
    </xf>
    <xf numFmtId="0" fontId="82" fillId="27" borderId="0" xfId="0" applyFont="1" applyFill="1" applyAlignment="1">
      <alignment horizontal="justify" vertical="center"/>
    </xf>
    <xf numFmtId="0" fontId="0" fillId="27" borderId="0" xfId="0" applyFill="1"/>
    <xf numFmtId="0" fontId="75" fillId="33" borderId="0" xfId="0" applyFont="1" applyFill="1" applyAlignment="1">
      <alignment horizontal="justify" vertical="center"/>
    </xf>
    <xf numFmtId="0" fontId="75" fillId="27" borderId="0" xfId="0" applyFont="1" applyFill="1" applyAlignment="1">
      <alignment horizontal="justify" vertical="center"/>
    </xf>
    <xf numFmtId="0" fontId="0" fillId="33" borderId="0" xfId="0" applyFill="1"/>
    <xf numFmtId="0" fontId="72" fillId="33" borderId="0" xfId="0" applyFont="1" applyFill="1"/>
    <xf numFmtId="0" fontId="75" fillId="33" borderId="0" xfId="0" applyFont="1" applyFill="1"/>
    <xf numFmtId="0" fontId="77" fillId="33" borderId="0" xfId="0" applyFont="1" applyFill="1" applyAlignment="1">
      <alignment wrapText="1"/>
    </xf>
    <xf numFmtId="0" fontId="77" fillId="33" borderId="0" xfId="2" applyFont="1" applyFill="1" applyAlignment="1">
      <alignment wrapText="1"/>
    </xf>
    <xf numFmtId="0" fontId="75" fillId="27" borderId="0" xfId="0" applyFont="1" applyFill="1"/>
    <xf numFmtId="179" fontId="5" fillId="7" borderId="6" xfId="0" applyNumberFormat="1" applyFont="1" applyFill="1" applyBorder="1" applyAlignment="1">
      <alignment horizontal="center"/>
    </xf>
    <xf numFmtId="0" fontId="5" fillId="18" borderId="6" xfId="0" applyFont="1" applyFill="1" applyBorder="1"/>
    <xf numFmtId="4" fontId="15" fillId="18" borderId="6" xfId="0" applyNumberFormat="1" applyFont="1" applyFill="1" applyBorder="1"/>
    <xf numFmtId="4" fontId="5" fillId="18" borderId="6" xfId="0" applyNumberFormat="1" applyFont="1" applyFill="1" applyBorder="1"/>
    <xf numFmtId="0" fontId="0" fillId="18" borderId="0" xfId="0" applyFill="1"/>
    <xf numFmtId="192" fontId="5" fillId="4" borderId="0" xfId="0" applyNumberFormat="1" applyFont="1" applyFill="1"/>
    <xf numFmtId="0" fontId="86" fillId="27" borderId="1" xfId="0" applyFont="1" applyFill="1" applyBorder="1" applyAlignment="1">
      <alignment horizontal="left" vertical="top" wrapText="1"/>
    </xf>
    <xf numFmtId="3" fontId="86" fillId="27" borderId="0" xfId="0" applyNumberFormat="1" applyFont="1" applyFill="1"/>
    <xf numFmtId="4" fontId="86" fillId="27" borderId="1" xfId="0" applyNumberFormat="1" applyFont="1" applyFill="1" applyBorder="1" applyAlignment="1">
      <alignment horizontal="center" vertical="center"/>
    </xf>
    <xf numFmtId="4" fontId="86" fillId="27" borderId="1" xfId="0" applyNumberFormat="1" applyFont="1" applyFill="1" applyBorder="1" applyAlignment="1">
      <alignment horizontal="right" vertical="center"/>
    </xf>
    <xf numFmtId="3" fontId="86" fillId="27" borderId="1" xfId="0" applyNumberFormat="1" applyFont="1" applyFill="1" applyBorder="1" applyAlignment="1">
      <alignment horizontal="right" vertical="center"/>
    </xf>
    <xf numFmtId="10" fontId="86" fillId="27" borderId="1" xfId="0" applyNumberFormat="1" applyFont="1" applyFill="1" applyBorder="1" applyAlignment="1">
      <alignment horizontal="right" vertical="center"/>
    </xf>
    <xf numFmtId="0" fontId="86" fillId="20" borderId="1" xfId="0" applyFont="1" applyFill="1" applyBorder="1" applyAlignment="1">
      <alignment horizontal="left" vertical="top" wrapText="1"/>
    </xf>
    <xf numFmtId="3" fontId="86" fillId="0" borderId="0" xfId="0" applyNumberFormat="1" applyFont="1"/>
    <xf numFmtId="4" fontId="86" fillId="20" borderId="1" xfId="0" applyNumberFormat="1" applyFont="1" applyFill="1" applyBorder="1" applyAlignment="1">
      <alignment horizontal="center" vertical="center"/>
    </xf>
    <xf numFmtId="4" fontId="86" fillId="20" borderId="1" xfId="0" applyNumberFormat="1" applyFont="1" applyFill="1" applyBorder="1" applyAlignment="1">
      <alignment horizontal="right" vertical="center"/>
    </xf>
    <xf numFmtId="3" fontId="86" fillId="0" borderId="1" xfId="0" applyNumberFormat="1" applyFont="1" applyBorder="1" applyAlignment="1">
      <alignment horizontal="right" vertical="center"/>
    </xf>
    <xf numFmtId="10" fontId="86" fillId="0" borderId="1" xfId="0" applyNumberFormat="1" applyFont="1" applyBorder="1" applyAlignment="1">
      <alignment horizontal="right" vertical="center"/>
    </xf>
    <xf numFmtId="4" fontId="86" fillId="0" borderId="1" xfId="0" applyNumberFormat="1" applyFont="1" applyBorder="1" applyAlignment="1">
      <alignment horizontal="center" vertical="center"/>
    </xf>
    <xf numFmtId="0" fontId="86" fillId="0" borderId="1" xfId="0" applyFont="1" applyBorder="1" applyAlignment="1">
      <alignment horizontal="left" vertical="top" wrapText="1"/>
    </xf>
    <xf numFmtId="4" fontId="86" fillId="0" borderId="1" xfId="0" applyNumberFormat="1" applyFont="1" applyBorder="1" applyAlignment="1">
      <alignment horizontal="right" vertical="center"/>
    </xf>
    <xf numFmtId="169" fontId="37" fillId="0" borderId="6" xfId="0" applyNumberFormat="1" applyFont="1" applyBorder="1" applyAlignment="1">
      <alignment horizontal="center"/>
    </xf>
    <xf numFmtId="3" fontId="85" fillId="0" borderId="65" xfId="0" applyNumberFormat="1" applyFont="1" applyBorder="1"/>
    <xf numFmtId="3" fontId="85" fillId="27" borderId="65" xfId="0" applyNumberFormat="1" applyFont="1" applyFill="1" applyBorder="1"/>
    <xf numFmtId="0" fontId="0" fillId="18" borderId="0" xfId="0" applyFill="1" applyAlignment="1">
      <alignment horizontal="left"/>
    </xf>
    <xf numFmtId="194" fontId="0" fillId="18" borderId="0" xfId="3" applyNumberFormat="1" applyFont="1" applyFill="1"/>
    <xf numFmtId="4" fontId="86" fillId="18" borderId="1" xfId="0" applyNumberFormat="1" applyFont="1" applyFill="1" applyBorder="1" applyAlignment="1">
      <alignment horizontal="center" vertical="center"/>
    </xf>
    <xf numFmtId="4" fontId="86" fillId="18" borderId="1" xfId="0" applyNumberFormat="1" applyFont="1" applyFill="1" applyBorder="1" applyAlignment="1">
      <alignment horizontal="right" vertical="center"/>
    </xf>
    <xf numFmtId="3" fontId="86" fillId="18" borderId="1" xfId="0" applyNumberFormat="1" applyFont="1" applyFill="1" applyBorder="1" applyAlignment="1">
      <alignment horizontal="right" vertical="center"/>
    </xf>
    <xf numFmtId="10" fontId="86" fillId="18" borderId="1" xfId="0" applyNumberFormat="1" applyFont="1" applyFill="1" applyBorder="1" applyAlignment="1">
      <alignment horizontal="right" vertical="center"/>
    </xf>
    <xf numFmtId="3" fontId="64" fillId="18" borderId="0" xfId="0" applyNumberFormat="1" applyFont="1" applyFill="1"/>
    <xf numFmtId="4" fontId="64" fillId="18" borderId="0" xfId="0" applyNumberFormat="1" applyFont="1" applyFill="1"/>
    <xf numFmtId="0" fontId="15" fillId="35" borderId="6" xfId="0" applyFont="1" applyFill="1" applyBorder="1" applyAlignment="1">
      <alignment horizontal="center"/>
    </xf>
    <xf numFmtId="4" fontId="15" fillId="18" borderId="6" xfId="0" applyNumberFormat="1" applyFont="1" applyFill="1" applyBorder="1" applyAlignment="1">
      <alignment horizontal="center"/>
    </xf>
    <xf numFmtId="0" fontId="5" fillId="18" borderId="6" xfId="0" applyFont="1" applyFill="1" applyBorder="1" applyAlignment="1">
      <alignment horizontal="center"/>
    </xf>
    <xf numFmtId="172" fontId="5" fillId="18" borderId="6" xfId="0" applyNumberFormat="1" applyFont="1" applyFill="1" applyBorder="1" applyAlignment="1">
      <alignment horizontal="center"/>
    </xf>
    <xf numFmtId="164" fontId="8" fillId="22" borderId="6" xfId="0" applyNumberFormat="1" applyFont="1" applyFill="1" applyBorder="1" applyAlignment="1">
      <alignment horizontal="center"/>
    </xf>
    <xf numFmtId="2" fontId="8" fillId="22" borderId="6" xfId="0" applyNumberFormat="1" applyFont="1" applyFill="1" applyBorder="1" applyAlignment="1">
      <alignment horizontal="right"/>
    </xf>
    <xf numFmtId="164" fontId="13" fillId="17" borderId="6" xfId="0" applyNumberFormat="1" applyFont="1" applyFill="1" applyBorder="1" applyAlignment="1">
      <alignment horizontal="center"/>
    </xf>
    <xf numFmtId="0" fontId="5" fillId="18" borderId="6" xfId="0" applyFont="1" applyFill="1" applyBorder="1" applyAlignment="1">
      <alignment horizontal="right"/>
    </xf>
    <xf numFmtId="4" fontId="5" fillId="36" borderId="6" xfId="0" applyNumberFormat="1" applyFont="1" applyFill="1" applyBorder="1" applyAlignment="1">
      <alignment horizontal="right"/>
    </xf>
    <xf numFmtId="4" fontId="37" fillId="18" borderId="6" xfId="0" applyNumberFormat="1" applyFont="1" applyFill="1" applyBorder="1" applyAlignment="1">
      <alignment horizontal="right"/>
    </xf>
    <xf numFmtId="4" fontId="5" fillId="36" borderId="6" xfId="0" applyNumberFormat="1" applyFont="1" applyFill="1" applyBorder="1"/>
    <xf numFmtId="0" fontId="10" fillId="18" borderId="6" xfId="0" applyFont="1" applyFill="1" applyBorder="1" applyAlignment="1">
      <alignment horizontal="center"/>
    </xf>
    <xf numFmtId="0" fontId="10" fillId="18" borderId="10" xfId="0" applyFont="1" applyFill="1" applyBorder="1" applyAlignment="1">
      <alignment horizontal="center"/>
    </xf>
    <xf numFmtId="164" fontId="10" fillId="18" borderId="10" xfId="0" applyNumberFormat="1" applyFont="1" applyFill="1" applyBorder="1"/>
    <xf numFmtId="164" fontId="10" fillId="18" borderId="6" xfId="0" applyNumberFormat="1" applyFont="1" applyFill="1" applyBorder="1"/>
    <xf numFmtId="166" fontId="10" fillId="18" borderId="6" xfId="0" applyNumberFormat="1" applyFont="1" applyFill="1" applyBorder="1"/>
    <xf numFmtId="166" fontId="10" fillId="18" borderId="10" xfId="0" applyNumberFormat="1" applyFont="1" applyFill="1" applyBorder="1"/>
    <xf numFmtId="167" fontId="51" fillId="18" borderId="6" xfId="0" applyNumberFormat="1" applyFont="1" applyFill="1" applyBorder="1"/>
    <xf numFmtId="189" fontId="14" fillId="17" borderId="48" xfId="0" applyNumberFormat="1" applyFont="1" applyFill="1" applyBorder="1" applyAlignment="1">
      <alignment horizontal="center"/>
    </xf>
    <xf numFmtId="3" fontId="5" fillId="0" borderId="0" xfId="0" applyNumberFormat="1" applyFont="1" applyAlignment="1">
      <alignment horizontal="center"/>
    </xf>
    <xf numFmtId="191" fontId="14" fillId="9" borderId="0" xfId="5" applyNumberFormat="1" applyFont="1" applyFill="1" applyBorder="1" applyAlignment="1">
      <alignment horizontal="center"/>
    </xf>
    <xf numFmtId="0" fontId="64" fillId="0" borderId="3" xfId="0" applyFont="1" applyBorder="1" applyAlignment="1">
      <alignment horizontal="left"/>
    </xf>
    <xf numFmtId="3" fontId="15" fillId="10" borderId="18" xfId="0" applyNumberFormat="1" applyFont="1" applyFill="1" applyBorder="1" applyAlignment="1">
      <alignment horizontal="center"/>
    </xf>
    <xf numFmtId="168" fontId="0" fillId="4" borderId="60" xfId="0" applyNumberFormat="1" applyFill="1" applyBorder="1" applyAlignment="1">
      <alignment horizontal="center"/>
    </xf>
    <xf numFmtId="0" fontId="64" fillId="0" borderId="6" xfId="0" applyFont="1" applyBorder="1" applyAlignment="1">
      <alignment horizontal="left" wrapText="1"/>
    </xf>
    <xf numFmtId="0" fontId="64" fillId="0" borderId="3" xfId="0" applyFont="1" applyBorder="1" applyAlignment="1">
      <alignment horizontal="left" wrapText="1"/>
    </xf>
    <xf numFmtId="0" fontId="88" fillId="0" borderId="3" xfId="0" applyFont="1" applyBorder="1" applyAlignment="1">
      <alignment horizontal="left" wrapText="1"/>
    </xf>
    <xf numFmtId="0" fontId="89" fillId="33" borderId="0" xfId="0" applyFont="1" applyFill="1" applyAlignment="1">
      <alignment wrapText="1"/>
    </xf>
    <xf numFmtId="4" fontId="5" fillId="0" borderId="7" xfId="0" applyNumberFormat="1" applyFont="1" applyBorder="1"/>
    <xf numFmtId="4" fontId="5" fillId="10" borderId="8" xfId="0" applyNumberFormat="1" applyFont="1" applyFill="1" applyBorder="1"/>
    <xf numFmtId="164" fontId="29" fillId="6" borderId="5" xfId="0" applyNumberFormat="1" applyFont="1" applyFill="1" applyBorder="1" applyAlignment="1">
      <alignment horizontal="center"/>
    </xf>
    <xf numFmtId="164" fontId="29" fillId="10" borderId="5" xfId="0" applyNumberFormat="1" applyFont="1" applyFill="1" applyBorder="1"/>
    <xf numFmtId="164" fontId="29" fillId="12" borderId="5" xfId="0" applyNumberFormat="1" applyFont="1" applyFill="1" applyBorder="1" applyAlignment="1">
      <alignment horizontal="center" vertical="center"/>
    </xf>
    <xf numFmtId="164" fontId="29" fillId="13" borderId="5" xfId="0" applyNumberFormat="1" applyFont="1" applyFill="1" applyBorder="1" applyAlignment="1">
      <alignment horizontal="center" vertical="center"/>
    </xf>
    <xf numFmtId="164" fontId="29" fillId="14" borderId="5" xfId="0" applyNumberFormat="1" applyFont="1" applyFill="1" applyBorder="1" applyAlignment="1">
      <alignment horizontal="center" vertical="center"/>
    </xf>
    <xf numFmtId="164" fontId="29" fillId="7" borderId="5" xfId="0" applyNumberFormat="1" applyFont="1" applyFill="1" applyBorder="1"/>
    <xf numFmtId="164" fontId="29" fillId="8" borderId="5" xfId="0" applyNumberFormat="1" applyFont="1" applyFill="1" applyBorder="1" applyAlignment="1">
      <alignment horizontal="center"/>
    </xf>
    <xf numFmtId="164" fontId="29" fillId="0" borderId="5" xfId="0" applyNumberFormat="1" applyFont="1" applyBorder="1"/>
    <xf numFmtId="3" fontId="8" fillId="9" borderId="60" xfId="0" applyNumberFormat="1" applyFont="1" applyFill="1" applyBorder="1" applyAlignment="1">
      <alignment horizontal="center"/>
    </xf>
    <xf numFmtId="3" fontId="8" fillId="9" borderId="22" xfId="0" applyNumberFormat="1" applyFont="1" applyFill="1" applyBorder="1" applyAlignment="1">
      <alignment horizontal="center"/>
    </xf>
    <xf numFmtId="3" fontId="8" fillId="9" borderId="13" xfId="0" applyNumberFormat="1" applyFont="1" applyFill="1" applyBorder="1" applyAlignment="1">
      <alignment horizontal="center"/>
    </xf>
    <xf numFmtId="185" fontId="15" fillId="0" borderId="6" xfId="0" applyNumberFormat="1" applyFont="1" applyBorder="1"/>
    <xf numFmtId="4" fontId="5" fillId="0" borderId="69" xfId="0" applyNumberFormat="1" applyFont="1" applyBorder="1"/>
    <xf numFmtId="4" fontId="5" fillId="0" borderId="58" xfId="0" applyNumberFormat="1" applyFont="1" applyBorder="1"/>
    <xf numFmtId="4" fontId="15" fillId="0" borderId="58" xfId="0" applyNumberFormat="1" applyFont="1" applyBorder="1"/>
    <xf numFmtId="4" fontId="5" fillId="0" borderId="70" xfId="0" applyNumberFormat="1" applyFont="1" applyBorder="1"/>
    <xf numFmtId="4" fontId="15" fillId="0" borderId="7" xfId="0" applyNumberFormat="1" applyFont="1" applyBorder="1"/>
    <xf numFmtId="4" fontId="5" fillId="0" borderId="3" xfId="0" applyNumberFormat="1" applyFont="1" applyBorder="1"/>
    <xf numFmtId="4" fontId="15" fillId="0" borderId="3" xfId="0" applyNumberFormat="1" applyFont="1" applyBorder="1"/>
    <xf numFmtId="4" fontId="5" fillId="0" borderId="31" xfId="0" applyNumberFormat="1" applyFont="1" applyBorder="1"/>
    <xf numFmtId="4" fontId="15" fillId="0" borderId="31" xfId="0" applyNumberFormat="1" applyFont="1" applyBorder="1"/>
    <xf numFmtId="183" fontId="5" fillId="0" borderId="6" xfId="0" applyNumberFormat="1" applyFont="1" applyBorder="1" applyAlignment="1">
      <alignment horizontal="right"/>
    </xf>
    <xf numFmtId="1" fontId="5" fillId="0" borderId="10" xfId="0" applyNumberFormat="1" applyFont="1" applyBorder="1" applyAlignment="1">
      <alignment horizontal="right"/>
    </xf>
    <xf numFmtId="0" fontId="0" fillId="37" borderId="0" xfId="0" applyFill="1"/>
    <xf numFmtId="4" fontId="0" fillId="0" borderId="0" xfId="0" applyNumberFormat="1"/>
    <xf numFmtId="0" fontId="87" fillId="0" borderId="0" xfId="0" applyFont="1" applyAlignment="1">
      <alignment vertical="top"/>
    </xf>
    <xf numFmtId="0" fontId="2" fillId="2" borderId="1" xfId="0" applyFont="1" applyFill="1" applyBorder="1" applyAlignment="1">
      <alignment horizontal="center" wrapText="1"/>
    </xf>
    <xf numFmtId="0" fontId="11" fillId="0" borderId="6" xfId="0" applyFont="1" applyBorder="1" applyAlignment="1">
      <alignment horizontal="justify" vertical="center" wrapText="1"/>
    </xf>
    <xf numFmtId="0" fontId="8" fillId="0" borderId="6" xfId="0" applyFont="1" applyBorder="1" applyAlignment="1">
      <alignment horizontal="left"/>
    </xf>
    <xf numFmtId="0" fontId="8" fillId="0" borderId="7" xfId="0" applyFont="1" applyBorder="1" applyAlignment="1">
      <alignment horizontal="left"/>
    </xf>
    <xf numFmtId="0" fontId="5" fillId="0" borderId="6" xfId="0" applyFont="1" applyBorder="1" applyAlignment="1">
      <alignment horizontal="center"/>
    </xf>
    <xf numFmtId="0" fontId="6" fillId="5" borderId="3" xfId="0" applyFont="1" applyFill="1" applyBorder="1" applyAlignment="1">
      <alignment horizontal="center"/>
    </xf>
    <xf numFmtId="0" fontId="6" fillId="5" borderId="4" xfId="0" applyFont="1" applyFill="1" applyBorder="1" applyAlignment="1">
      <alignment horizontal="center"/>
    </xf>
    <xf numFmtId="0" fontId="6" fillId="5" borderId="5" xfId="0" applyFont="1" applyFill="1" applyBorder="1" applyAlignment="1">
      <alignment horizontal="center"/>
    </xf>
    <xf numFmtId="164" fontId="7" fillId="6" borderId="6" xfId="0" applyNumberFormat="1" applyFont="1" applyFill="1" applyBorder="1" applyAlignment="1">
      <alignment horizontal="left"/>
    </xf>
    <xf numFmtId="0" fontId="5" fillId="0" borderId="8" xfId="0" applyFont="1" applyBorder="1" applyAlignment="1">
      <alignment horizontal="left"/>
    </xf>
    <xf numFmtId="0" fontId="9" fillId="10" borderId="66" xfId="0" applyFont="1" applyFill="1" applyBorder="1" applyAlignment="1">
      <alignment horizontal="left"/>
    </xf>
    <xf numFmtId="0" fontId="9" fillId="10" borderId="67" xfId="0" applyFont="1" applyFill="1" applyBorder="1" applyAlignment="1">
      <alignment horizontal="left"/>
    </xf>
    <xf numFmtId="0" fontId="9" fillId="10" borderId="68" xfId="0" applyFont="1" applyFill="1" applyBorder="1" applyAlignment="1">
      <alignment horizontal="left"/>
    </xf>
    <xf numFmtId="168" fontId="21" fillId="8" borderId="6" xfId="0" applyNumberFormat="1" applyFont="1" applyFill="1" applyBorder="1" applyAlignment="1">
      <alignment horizontal="center"/>
    </xf>
    <xf numFmtId="0" fontId="13" fillId="6" borderId="6" xfId="0" applyFont="1" applyFill="1" applyBorder="1" applyAlignment="1">
      <alignment horizontal="center" vertical="center" wrapText="1"/>
    </xf>
    <xf numFmtId="0" fontId="13" fillId="6" borderId="40" xfId="0" applyFont="1" applyFill="1" applyBorder="1" applyAlignment="1">
      <alignment horizontal="left"/>
    </xf>
    <xf numFmtId="0" fontId="13" fillId="6" borderId="7" xfId="0" applyFont="1" applyFill="1" applyBorder="1" applyAlignment="1">
      <alignment horizontal="left"/>
    </xf>
    <xf numFmtId="0" fontId="15" fillId="6" borderId="9" xfId="0" applyFont="1" applyFill="1" applyBorder="1" applyAlignment="1">
      <alignment horizontal="center"/>
    </xf>
    <xf numFmtId="0" fontId="13" fillId="6" borderId="6" xfId="0" applyFont="1" applyFill="1" applyBorder="1" applyAlignment="1">
      <alignment horizontal="left" vertical="center"/>
    </xf>
    <xf numFmtId="0" fontId="9" fillId="6" borderId="36" xfId="0" applyFont="1" applyFill="1" applyBorder="1" applyAlignment="1">
      <alignment horizontal="center"/>
    </xf>
    <xf numFmtId="0" fontId="9" fillId="6" borderId="0" xfId="0" applyFont="1" applyFill="1" applyAlignment="1">
      <alignment horizontal="center"/>
    </xf>
    <xf numFmtId="164" fontId="25" fillId="0" borderId="6" xfId="0" applyNumberFormat="1" applyFont="1" applyBorder="1" applyAlignment="1">
      <alignment horizontal="center" vertical="center"/>
    </xf>
    <xf numFmtId="164" fontId="24" fillId="3" borderId="6" xfId="0" applyNumberFormat="1" applyFont="1" applyFill="1" applyBorder="1" applyAlignment="1">
      <alignment horizontal="center" vertical="center"/>
    </xf>
    <xf numFmtId="164" fontId="24" fillId="3" borderId="8" xfId="0" applyNumberFormat="1" applyFont="1" applyFill="1" applyBorder="1" applyAlignment="1">
      <alignment horizontal="center" vertical="center"/>
    </xf>
    <xf numFmtId="0" fontId="5" fillId="4" borderId="0" xfId="0" applyFont="1" applyFill="1" applyAlignment="1">
      <alignment horizontal="center" vertical="center"/>
    </xf>
    <xf numFmtId="0" fontId="7" fillId="6" borderId="6" xfId="0" applyFont="1" applyFill="1" applyBorder="1" applyAlignment="1">
      <alignment horizontal="left"/>
    </xf>
    <xf numFmtId="0" fontId="8" fillId="4" borderId="0" xfId="0" applyFont="1" applyFill="1" applyAlignment="1">
      <alignment horizontal="center"/>
    </xf>
    <xf numFmtId="0" fontId="8" fillId="4" borderId="0" xfId="0" applyFont="1" applyFill="1" applyAlignment="1">
      <alignment horizontal="center" vertical="center"/>
    </xf>
    <xf numFmtId="0" fontId="13" fillId="6" borderId="6" xfId="0" applyFont="1" applyFill="1" applyBorder="1" applyAlignment="1">
      <alignment horizontal="left"/>
    </xf>
    <xf numFmtId="0" fontId="5" fillId="6" borderId="0" xfId="0" applyFont="1" applyFill="1" applyAlignment="1">
      <alignment horizontal="left"/>
    </xf>
    <xf numFmtId="164" fontId="9" fillId="0" borderId="6" xfId="0" applyNumberFormat="1" applyFont="1" applyBorder="1" applyAlignment="1">
      <alignment horizontal="center" vertical="center"/>
    </xf>
    <xf numFmtId="164" fontId="6" fillId="5" borderId="3" xfId="0" applyNumberFormat="1" applyFont="1" applyFill="1" applyBorder="1" applyAlignment="1">
      <alignment horizontal="center"/>
    </xf>
    <xf numFmtId="164" fontId="6" fillId="5" borderId="4" xfId="0" applyNumberFormat="1" applyFont="1" applyFill="1" applyBorder="1" applyAlignment="1">
      <alignment horizontal="center"/>
    </xf>
    <xf numFmtId="164" fontId="6" fillId="5" borderId="5" xfId="0" applyNumberFormat="1" applyFont="1" applyFill="1" applyBorder="1" applyAlignment="1">
      <alignment horizontal="center"/>
    </xf>
    <xf numFmtId="0" fontId="13" fillId="0" borderId="36" xfId="0" applyFont="1" applyBorder="1" applyAlignment="1">
      <alignment horizontal="center"/>
    </xf>
    <xf numFmtId="0" fontId="13" fillId="0" borderId="0" xfId="0" applyFont="1" applyAlignment="1">
      <alignment horizontal="center"/>
    </xf>
    <xf numFmtId="0" fontId="0" fillId="0" borderId="0" xfId="0" applyAlignment="1">
      <alignment horizontal="center"/>
    </xf>
    <xf numFmtId="0" fontId="0" fillId="0" borderId="0" xfId="0" applyAlignment="1"/>
    <xf numFmtId="0" fontId="13" fillId="0" borderId="32" xfId="0" applyFont="1" applyBorder="1" applyAlignment="1">
      <alignment horizontal="center"/>
    </xf>
    <xf numFmtId="0" fontId="0" fillId="0" borderId="24" xfId="0" applyBorder="1" applyAlignment="1"/>
    <xf numFmtId="0" fontId="13" fillId="0" borderId="10" xfId="0" applyFont="1" applyBorder="1" applyAlignment="1">
      <alignment horizontal="center"/>
    </xf>
    <xf numFmtId="0" fontId="13" fillId="0" borderId="6" xfId="0" applyFont="1" applyBorder="1" applyAlignment="1">
      <alignment horizontal="center"/>
    </xf>
    <xf numFmtId="0" fontId="13" fillId="6" borderId="6" xfId="0" applyFont="1" applyFill="1" applyBorder="1" applyAlignment="1">
      <alignment horizontal="center"/>
    </xf>
    <xf numFmtId="0" fontId="6" fillId="4" borderId="0" xfId="0" applyFont="1" applyFill="1" applyAlignment="1">
      <alignment horizontal="center"/>
    </xf>
    <xf numFmtId="0" fontId="13" fillId="6" borderId="11" xfId="0" applyFont="1" applyFill="1" applyBorder="1" applyAlignment="1">
      <alignment horizontal="center"/>
    </xf>
    <xf numFmtId="0" fontId="13" fillId="0" borderId="31" xfId="0" applyFont="1" applyBorder="1" applyAlignment="1">
      <alignment horizontal="center"/>
    </xf>
    <xf numFmtId="0" fontId="30" fillId="5" borderId="3" xfId="0" applyFont="1" applyFill="1" applyBorder="1" applyAlignment="1">
      <alignment horizontal="center"/>
    </xf>
    <xf numFmtId="0" fontId="30" fillId="5" borderId="4" xfId="0" applyFont="1" applyFill="1" applyBorder="1" applyAlignment="1">
      <alignment horizontal="center"/>
    </xf>
    <xf numFmtId="0" fontId="30" fillId="5" borderId="5" xfId="0" applyFont="1" applyFill="1" applyBorder="1" applyAlignment="1">
      <alignment horizontal="center"/>
    </xf>
    <xf numFmtId="0" fontId="9" fillId="6" borderId="28" xfId="0" applyFont="1" applyFill="1" applyBorder="1" applyAlignment="1">
      <alignment horizontal="center"/>
    </xf>
    <xf numFmtId="0" fontId="11" fillId="4" borderId="0" xfId="0" applyFont="1" applyFill="1" applyAlignment="1">
      <alignment horizontal="center"/>
    </xf>
    <xf numFmtId="0" fontId="5" fillId="0" borderId="6" xfId="0" applyFont="1" applyBorder="1" applyAlignment="1">
      <alignment horizontal="center" vertical="center"/>
    </xf>
    <xf numFmtId="164" fontId="8" fillId="6" borderId="7" xfId="0" applyNumberFormat="1" applyFont="1" applyFill="1" applyBorder="1" applyAlignment="1">
      <alignment horizontal="center"/>
    </xf>
    <xf numFmtId="0" fontId="5" fillId="31" borderId="0" xfId="0" applyFont="1" applyFill="1" applyAlignment="1">
      <alignment horizontal="center"/>
    </xf>
    <xf numFmtId="193" fontId="11" fillId="4" borderId="0" xfId="0" applyNumberFormat="1" applyFont="1" applyFill="1" applyAlignment="1">
      <alignment horizontal="center"/>
    </xf>
    <xf numFmtId="0" fontId="59" fillId="24" borderId="0" xfId="0" applyFont="1" applyFill="1" applyAlignment="1">
      <alignment horizontal="justify" vertical="top" wrapText="1"/>
    </xf>
    <xf numFmtId="0" fontId="58" fillId="23" borderId="60" xfId="0" applyFont="1" applyFill="1" applyBorder="1" applyAlignment="1">
      <alignment horizontal="center" vertical="top" wrapText="1"/>
    </xf>
    <xf numFmtId="0" fontId="60" fillId="25" borderId="60" xfId="0" applyFont="1" applyFill="1" applyBorder="1" applyAlignment="1">
      <alignment horizontal="center" vertical="top" wrapText="1"/>
    </xf>
    <xf numFmtId="192" fontId="61" fillId="26" borderId="60" xfId="0" applyNumberFormat="1" applyFont="1" applyFill="1" applyBorder="1" applyAlignment="1">
      <alignment horizontal="center"/>
    </xf>
    <xf numFmtId="0" fontId="5" fillId="6" borderId="6" xfId="0" applyFont="1" applyFill="1" applyBorder="1" applyAlignment="1">
      <alignment horizontal="center"/>
    </xf>
    <xf numFmtId="0" fontId="9" fillId="3" borderId="5" xfId="0" applyFont="1" applyFill="1" applyBorder="1" applyAlignment="1">
      <alignment horizontal="center"/>
    </xf>
    <xf numFmtId="0" fontId="9" fillId="6" borderId="61" xfId="0" applyFont="1" applyFill="1" applyBorder="1" applyAlignment="1">
      <alignment horizontal="center"/>
    </xf>
    <xf numFmtId="0" fontId="5" fillId="4" borderId="15" xfId="0" applyFont="1" applyFill="1" applyBorder="1" applyAlignment="1">
      <alignment horizontal="center"/>
    </xf>
    <xf numFmtId="0" fontId="13" fillId="0" borderId="11" xfId="0" applyFont="1" applyBorder="1" applyAlignment="1">
      <alignment horizontal="center"/>
    </xf>
    <xf numFmtId="0" fontId="23" fillId="4" borderId="0" xfId="0" applyFont="1" applyFill="1" applyAlignment="1">
      <alignment horizontal="center"/>
    </xf>
    <xf numFmtId="0" fontId="7" fillId="0" borderId="35" xfId="0" applyFont="1" applyBorder="1" applyAlignment="1">
      <alignment horizontal="left" vertical="center"/>
    </xf>
    <xf numFmtId="0" fontId="13" fillId="0" borderId="6" xfId="0" applyFont="1" applyBorder="1" applyAlignment="1">
      <alignment horizontal="left"/>
    </xf>
    <xf numFmtId="0" fontId="9" fillId="4" borderId="0" xfId="0" applyFont="1" applyFill="1" applyAlignment="1">
      <alignment horizontal="left"/>
    </xf>
    <xf numFmtId="3" fontId="29" fillId="4" borderId="0" xfId="0" applyNumberFormat="1" applyFont="1" applyFill="1" applyAlignment="1">
      <alignment horizontal="center"/>
    </xf>
    <xf numFmtId="9" fontId="8" fillId="4" borderId="7" xfId="0" applyNumberFormat="1" applyFont="1" applyFill="1" applyBorder="1" applyAlignment="1">
      <alignment horizontal="center"/>
    </xf>
    <xf numFmtId="0" fontId="11" fillId="4" borderId="14" xfId="0" applyFont="1" applyFill="1" applyBorder="1" applyAlignment="1">
      <alignment horizontal="center"/>
    </xf>
    <xf numFmtId="0" fontId="29" fillId="0" borderId="6" xfId="0" applyFont="1" applyBorder="1" applyAlignment="1">
      <alignment horizontal="center"/>
    </xf>
    <xf numFmtId="3" fontId="29" fillId="0" borderId="7" xfId="0" applyNumberFormat="1" applyFont="1" applyBorder="1" applyAlignment="1">
      <alignment horizontal="center"/>
    </xf>
    <xf numFmtId="3" fontId="11" fillId="9" borderId="7" xfId="0" applyNumberFormat="1" applyFont="1" applyFill="1" applyBorder="1" applyAlignment="1">
      <alignment horizontal="center"/>
    </xf>
    <xf numFmtId="0" fontId="13" fillId="0" borderId="5" xfId="0" applyFont="1" applyBorder="1" applyAlignment="1">
      <alignment horizontal="left"/>
    </xf>
    <xf numFmtId="0" fontId="11" fillId="4" borderId="0" xfId="0" applyFont="1" applyFill="1" applyAlignment="1">
      <alignment horizontal="left"/>
    </xf>
    <xf numFmtId="0" fontId="29" fillId="4" borderId="0" xfId="0" applyFont="1" applyFill="1" applyAlignment="1">
      <alignment horizontal="left"/>
    </xf>
    <xf numFmtId="164" fontId="5" fillId="4" borderId="0" xfId="0" applyNumberFormat="1" applyFont="1" applyFill="1" applyAlignment="1"/>
    <xf numFmtId="164" fontId="23" fillId="4" borderId="0" xfId="0" applyNumberFormat="1" applyFont="1" applyFill="1" applyAlignment="1">
      <alignment horizontal="center"/>
    </xf>
    <xf numFmtId="3" fontId="29" fillId="0" borderId="6" xfId="0" applyNumberFormat="1" applyFont="1" applyBorder="1" applyAlignment="1">
      <alignment horizontal="center"/>
    </xf>
    <xf numFmtId="3" fontId="11" fillId="9" borderId="6" xfId="0" applyNumberFormat="1" applyFont="1" applyFill="1" applyBorder="1" applyAlignment="1">
      <alignment horizontal="center"/>
    </xf>
    <xf numFmtId="3" fontId="15" fillId="4" borderId="0" xfId="0" applyNumberFormat="1" applyFont="1" applyFill="1" applyAlignment="1">
      <alignment horizontal="center"/>
    </xf>
    <xf numFmtId="3" fontId="11" fillId="17" borderId="6" xfId="0" applyNumberFormat="1" applyFont="1" applyFill="1" applyBorder="1" applyAlignment="1">
      <alignment horizontal="center"/>
    </xf>
    <xf numFmtId="0" fontId="5" fillId="0" borderId="5" xfId="0" applyFont="1" applyBorder="1" applyAlignment="1">
      <alignment horizontal="center" vertical="top"/>
    </xf>
    <xf numFmtId="0" fontId="7" fillId="3" borderId="10" xfId="0" applyFont="1" applyFill="1" applyBorder="1" applyAlignment="1">
      <alignment horizontal="center"/>
    </xf>
    <xf numFmtId="0" fontId="5" fillId="3" borderId="5" xfId="0" applyFont="1" applyFill="1" applyBorder="1" applyAlignment="1"/>
    <xf numFmtId="0" fontId="13" fillId="14" borderId="10" xfId="0" applyFont="1" applyFill="1" applyBorder="1" applyAlignment="1">
      <alignment horizontal="left"/>
    </xf>
    <xf numFmtId="0" fontId="13" fillId="3" borderId="13" xfId="0" applyFont="1" applyFill="1" applyBorder="1" applyAlignment="1">
      <alignment horizontal="left"/>
    </xf>
    <xf numFmtId="0" fontId="13" fillId="8" borderId="10" xfId="0" applyFont="1" applyFill="1" applyBorder="1" applyAlignment="1">
      <alignment horizontal="left"/>
    </xf>
    <xf numFmtId="0" fontId="13" fillId="3" borderId="10" xfId="0" applyFont="1" applyFill="1" applyBorder="1" applyAlignment="1">
      <alignment horizontal="left"/>
    </xf>
    <xf numFmtId="0" fontId="13" fillId="10" borderId="10" xfId="0" applyFont="1" applyFill="1" applyBorder="1" applyAlignment="1">
      <alignment horizontal="left"/>
    </xf>
    <xf numFmtId="0" fontId="13" fillId="7" borderId="10" xfId="0" applyFont="1" applyFill="1" applyBorder="1" applyAlignment="1">
      <alignment horizontal="left"/>
    </xf>
    <xf numFmtId="0" fontId="13" fillId="14" borderId="31" xfId="0" applyFont="1" applyFill="1" applyBorder="1" applyAlignment="1">
      <alignment horizontal="left"/>
    </xf>
    <xf numFmtId="4" fontId="5" fillId="3" borderId="5" xfId="0" applyNumberFormat="1" applyFont="1" applyFill="1" applyBorder="1" applyAlignment="1"/>
    <xf numFmtId="0" fontId="14" fillId="0" borderId="5" xfId="0" applyFont="1" applyBorder="1" applyAlignment="1">
      <alignment horizontal="left"/>
    </xf>
    <xf numFmtId="0" fontId="15" fillId="3" borderId="6" xfId="0" applyFont="1" applyFill="1" applyBorder="1" applyAlignment="1"/>
    <xf numFmtId="0" fontId="5" fillId="0" borderId="6" xfId="0" applyFont="1" applyBorder="1" applyAlignment="1">
      <alignment horizontal="left"/>
    </xf>
    <xf numFmtId="0" fontId="5" fillId="0" borderId="6" xfId="0" applyFont="1" applyBorder="1" applyAlignment="1">
      <alignment horizontal="center" vertical="top"/>
    </xf>
    <xf numFmtId="0" fontId="13" fillId="3" borderId="6" xfId="0" applyFont="1" applyFill="1" applyBorder="1" applyAlignment="1">
      <alignment horizontal="left"/>
    </xf>
    <xf numFmtId="0" fontId="13" fillId="10" borderId="6" xfId="0" applyFont="1" applyFill="1" applyBorder="1" applyAlignment="1">
      <alignment horizontal="left"/>
    </xf>
    <xf numFmtId="0" fontId="13" fillId="8" borderId="6" xfId="0" applyFont="1" applyFill="1" applyBorder="1" applyAlignment="1">
      <alignment horizontal="left"/>
    </xf>
    <xf numFmtId="164" fontId="5" fillId="3" borderId="5" xfId="0" applyNumberFormat="1" applyFont="1" applyFill="1" applyBorder="1" applyAlignment="1"/>
    <xf numFmtId="0" fontId="13" fillId="14" borderId="6" xfId="0" applyFont="1" applyFill="1" applyBorder="1" applyAlignment="1">
      <alignment horizontal="left"/>
    </xf>
    <xf numFmtId="0" fontId="13" fillId="7" borderId="6" xfId="0" applyFont="1" applyFill="1" applyBorder="1" applyAlignment="1">
      <alignment horizontal="left"/>
    </xf>
    <xf numFmtId="0" fontId="7" fillId="6" borderId="6" xfId="0" applyFont="1" applyFill="1" applyBorder="1" applyAlignment="1">
      <alignment horizontal="center"/>
    </xf>
    <xf numFmtId="0" fontId="63" fillId="6" borderId="7" xfId="0" applyFont="1" applyFill="1" applyBorder="1" applyAlignment="1">
      <alignment horizontal="center"/>
    </xf>
    <xf numFmtId="0" fontId="63" fillId="6" borderId="9" xfId="0" applyFont="1" applyFill="1" applyBorder="1" applyAlignment="1">
      <alignment horizontal="center"/>
    </xf>
    <xf numFmtId="0" fontId="64" fillId="0" borderId="9" xfId="0" applyFont="1" applyBorder="1" applyAlignment="1">
      <alignment horizontal="center"/>
    </xf>
    <xf numFmtId="0" fontId="64" fillId="0" borderId="8" xfId="0" applyFont="1" applyBorder="1" applyAlignment="1">
      <alignment horizontal="center"/>
    </xf>
    <xf numFmtId="178" fontId="15" fillId="3" borderId="6" xfId="0" applyNumberFormat="1" applyFont="1" applyFill="1" applyBorder="1" applyAlignment="1">
      <alignment horizontal="center"/>
    </xf>
    <xf numFmtId="1" fontId="5" fillId="3" borderId="5" xfId="0" applyNumberFormat="1" applyFont="1" applyFill="1" applyBorder="1" applyAlignment="1"/>
    <xf numFmtId="0" fontId="13" fillId="12" borderId="10" xfId="0" applyFont="1" applyFill="1" applyBorder="1" applyAlignment="1">
      <alignment horizontal="left"/>
    </xf>
    <xf numFmtId="0" fontId="13" fillId="14" borderId="10" xfId="0" applyFont="1" applyFill="1" applyBorder="1" applyAlignment="1"/>
    <xf numFmtId="0" fontId="50" fillId="0" borderId="5" xfId="0" applyFont="1" applyBorder="1" applyAlignment="1">
      <alignment horizontal="center" vertical="top" wrapText="1"/>
    </xf>
    <xf numFmtId="0" fontId="40" fillId="6" borderId="6" xfId="0" applyFont="1" applyFill="1" applyBorder="1" applyAlignment="1">
      <alignment horizontal="center" wrapText="1"/>
    </xf>
    <xf numFmtId="0" fontId="5" fillId="3" borderId="6" xfId="0" applyFont="1" applyFill="1" applyBorder="1" applyAlignment="1">
      <alignment horizontal="left"/>
    </xf>
    <xf numFmtId="0" fontId="5" fillId="4" borderId="0" xfId="0" applyFont="1" applyFill="1" applyAlignment="1">
      <alignment horizontal="center"/>
    </xf>
    <xf numFmtId="1" fontId="5" fillId="4" borderId="0" xfId="0" applyNumberFormat="1" applyFont="1" applyFill="1" applyAlignment="1">
      <alignment horizontal="center"/>
    </xf>
    <xf numFmtId="165" fontId="5" fillId="4" borderId="0" xfId="0" applyNumberFormat="1" applyFont="1" applyFill="1" applyAlignment="1">
      <alignment horizontal="center"/>
    </xf>
    <xf numFmtId="0" fontId="15" fillId="6" borderId="6" xfId="0" applyFont="1" applyFill="1" applyBorder="1" applyAlignment="1">
      <alignment horizontal="center" vertical="center"/>
    </xf>
    <xf numFmtId="0" fontId="5" fillId="3" borderId="6" xfId="0" applyFont="1" applyFill="1" applyBorder="1" applyAlignment="1">
      <alignment horizontal="right"/>
    </xf>
    <xf numFmtId="0" fontId="15" fillId="0" borderId="6" xfId="0" applyFont="1" applyBorder="1" applyAlignment="1">
      <alignment horizontal="center" vertical="center"/>
    </xf>
    <xf numFmtId="0" fontId="42" fillId="4" borderId="0" xfId="0" applyFont="1" applyFill="1" applyAlignment="1">
      <alignment horizontal="center"/>
    </xf>
    <xf numFmtId="0" fontId="15" fillId="6" borderId="6" xfId="0" applyFont="1" applyFill="1" applyBorder="1" applyAlignment="1">
      <alignment horizontal="center"/>
    </xf>
    <xf numFmtId="0" fontId="42" fillId="5" borderId="3" xfId="0" applyFont="1" applyFill="1" applyBorder="1" applyAlignment="1">
      <alignment horizontal="center"/>
    </xf>
    <xf numFmtId="0" fontId="42" fillId="5" borderId="4" xfId="0" applyFont="1" applyFill="1" applyBorder="1" applyAlignment="1">
      <alignment horizontal="center"/>
    </xf>
    <xf numFmtId="0" fontId="42" fillId="5" borderId="5" xfId="0" applyFont="1" applyFill="1" applyBorder="1" applyAlignment="1">
      <alignment horizontal="center"/>
    </xf>
    <xf numFmtId="4" fontId="5" fillId="4" borderId="0" xfId="0" applyNumberFormat="1" applyFont="1" applyFill="1" applyAlignment="1">
      <alignment horizontal="center"/>
    </xf>
    <xf numFmtId="165" fontId="6" fillId="4" borderId="0" xfId="0" applyNumberFormat="1" applyFont="1" applyFill="1" applyAlignment="1">
      <alignment horizontal="center"/>
    </xf>
    <xf numFmtId="0" fontId="5" fillId="6" borderId="6" xfId="0" applyFont="1" applyFill="1" applyBorder="1" applyAlignment="1">
      <alignment horizontal="left" wrapText="1"/>
    </xf>
    <xf numFmtId="0" fontId="5" fillId="6" borderId="6" xfId="0" applyFont="1" applyFill="1" applyBorder="1" applyAlignment="1">
      <alignment horizontal="left" vertical="top" wrapText="1"/>
    </xf>
    <xf numFmtId="0" fontId="30" fillId="5" borderId="3" xfId="0" applyFont="1" applyFill="1" applyBorder="1" applyAlignment="1">
      <alignment horizontal="center" wrapText="1"/>
    </xf>
    <xf numFmtId="0" fontId="30" fillId="5" borderId="4" xfId="0" applyFont="1" applyFill="1" applyBorder="1" applyAlignment="1">
      <alignment horizontal="center" wrapText="1"/>
    </xf>
    <xf numFmtId="0" fontId="30" fillId="5" borderId="5" xfId="0" applyFont="1" applyFill="1" applyBorder="1" applyAlignment="1">
      <alignment horizontal="center" wrapText="1"/>
    </xf>
    <xf numFmtId="0" fontId="7" fillId="0" borderId="6" xfId="0" applyFont="1" applyBorder="1" applyAlignment="1">
      <alignment horizontal="center" wrapText="1"/>
    </xf>
    <xf numFmtId="10" fontId="54" fillId="0" borderId="37" xfId="0" applyNumberFormat="1" applyFont="1" applyBorder="1" applyAlignment="1">
      <alignment horizontal="left"/>
    </xf>
    <xf numFmtId="0" fontId="55" fillId="0" borderId="27" xfId="0" applyFont="1" applyBorder="1" applyAlignment="1">
      <alignment horizontal="left"/>
    </xf>
    <xf numFmtId="0" fontId="55" fillId="0" borderId="53" xfId="0" applyFont="1" applyBorder="1" applyAlignment="1">
      <alignment horizontal="left"/>
    </xf>
    <xf numFmtId="0" fontId="15" fillId="0" borderId="45" xfId="0" applyFont="1" applyBorder="1" applyAlignment="1">
      <alignment horizontal="center" wrapText="1"/>
    </xf>
    <xf numFmtId="0" fontId="43" fillId="3" borderId="11" xfId="0" applyFont="1" applyFill="1" applyBorder="1" applyAlignment="1">
      <alignment horizontal="center" vertical="center"/>
    </xf>
    <xf numFmtId="0" fontId="15" fillId="0" borderId="11" xfId="0" applyFont="1" applyBorder="1" applyAlignment="1">
      <alignment horizontal="left" vertical="center" wrapText="1"/>
    </xf>
    <xf numFmtId="0" fontId="15" fillId="0" borderId="59" xfId="0" applyFont="1" applyBorder="1" applyAlignment="1">
      <alignment horizontal="left" vertical="center" wrapText="1"/>
    </xf>
    <xf numFmtId="0" fontId="15" fillId="0" borderId="11" xfId="0" applyFont="1" applyBorder="1" applyAlignment="1">
      <alignment horizontal="left" vertical="top" wrapText="1"/>
    </xf>
    <xf numFmtId="0" fontId="15" fillId="0" borderId="11" xfId="0" applyFont="1" applyBorder="1" applyAlignment="1">
      <alignment horizontal="left" wrapText="1"/>
    </xf>
    <xf numFmtId="165" fontId="6" fillId="5" borderId="3" xfId="0" applyNumberFormat="1" applyFont="1" applyFill="1" applyBorder="1" applyAlignment="1">
      <alignment horizontal="center"/>
    </xf>
    <xf numFmtId="165" fontId="6" fillId="5" borderId="4" xfId="0" applyNumberFormat="1" applyFont="1" applyFill="1" applyBorder="1" applyAlignment="1">
      <alignment horizontal="center"/>
    </xf>
    <xf numFmtId="165" fontId="6" fillId="5" borderId="5" xfId="0" applyNumberFormat="1" applyFont="1" applyFill="1" applyBorder="1" applyAlignment="1">
      <alignment horizontal="center"/>
    </xf>
    <xf numFmtId="2" fontId="7" fillId="0" borderId="6" xfId="0" applyNumberFormat="1" applyFont="1" applyBorder="1" applyAlignment="1">
      <alignment horizontal="left"/>
    </xf>
    <xf numFmtId="0" fontId="5" fillId="4" borderId="0" xfId="0" applyFont="1" applyFill="1" applyAlignment="1">
      <alignment horizontal="center" wrapText="1"/>
    </xf>
    <xf numFmtId="165" fontId="46" fillId="6" borderId="6" xfId="0" applyNumberFormat="1" applyFont="1" applyFill="1" applyBorder="1" applyAlignment="1">
      <alignment horizontal="center" wrapText="1"/>
    </xf>
  </cellXfs>
  <cellStyles count="6">
    <cellStyle name="Ênfase2" xfId="4" builtinId="33"/>
    <cellStyle name="Hiperlink" xfId="2" builtinId="8"/>
    <cellStyle name="Moeda" xfId="5" builtinId="4"/>
    <cellStyle name="Normal" xfId="0" builtinId="0"/>
    <cellStyle name="Porcentagem" xfId="1" builtinId="5"/>
    <cellStyle name="Vírgula" xfId="3" builtinId="3"/>
  </cellStyles>
  <dxfs count="1">
    <dxf>
      <font>
        <b val="0"/>
        <i val="0"/>
        <strike val="0"/>
        <outline val="0"/>
        <shadow val="0"/>
        <u val="none"/>
        <sz val="10"/>
        <color rgb="FF000000"/>
        <name val="Arial"/>
      </font>
      <numFmt numFmtId="13" formatCode="0%"/>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66"/>
      <rgbColor rgb="FF00FFFF"/>
      <rgbColor rgb="FF800000"/>
      <rgbColor rgb="FF008000"/>
      <rgbColor rgb="FF000080"/>
      <rgbColor rgb="FF808000"/>
      <rgbColor rgb="FF800080"/>
      <rgbColor rgb="FF009393"/>
      <rgbColor rgb="FFC0C0C0"/>
      <rgbColor rgb="FF808080"/>
      <rgbColor rgb="FFD8D8D8"/>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DDDDDD"/>
      <rgbColor rgb="FFCCFFCC"/>
      <rgbColor rgb="FFFFFF99"/>
      <rgbColor rgb="FF99CCFF"/>
      <rgbColor rgb="FFFF99CC"/>
      <rgbColor rgb="FFD5D5D5"/>
      <rgbColor rgb="FFFFCC99"/>
      <rgbColor rgb="FF3366FF"/>
      <rgbColor rgb="FF33CCCC"/>
      <rgbColor rgb="FF99CC00"/>
      <rgbColor rgb="FFFFCC00"/>
      <rgbColor rgb="FFFF9900"/>
      <rgbColor rgb="FFFF4000"/>
      <rgbColor rgb="FF666699"/>
      <rgbColor rgb="FFAEB3B6"/>
      <rgbColor rgb="FF003366"/>
      <rgbColor rgb="FF339966"/>
      <rgbColor rgb="FF003300"/>
      <rgbColor rgb="FF231F20"/>
      <rgbColor rgb="FFC9211E"/>
      <rgbColor rgb="FF993366"/>
      <rgbColor rgb="FF333399"/>
      <rgbColor rgb="FF212529"/>
      <rgbColor rgb="00003366"/>
      <rgbColor rgb="00339966"/>
      <rgbColor rgb="00003300"/>
      <rgbColor rgb="00333300"/>
      <rgbColor rgb="00993300"/>
      <rgbColor rgb="00993366"/>
      <rgbColor rgb="00333399"/>
      <rgbColor rgb="00333333"/>
    </indexedColors>
    <mruColors>
      <color rgb="FF99EBF2"/>
      <color rgb="FFBFEEF2"/>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366120</xdr:colOff>
      <xdr:row>56</xdr:row>
      <xdr:rowOff>156240</xdr:rowOff>
    </xdr:to>
    <xdr:sp macro="" textlink="">
      <xdr:nvSpPr>
        <xdr:cNvPr id="2" name="CustomShape 1" hidden="1">
          <a:extLst>
            <a:ext uri="{FF2B5EF4-FFF2-40B4-BE49-F238E27FC236}">
              <a16:creationId xmlns:a16="http://schemas.microsoft.com/office/drawing/2014/main" id="{00000000-0008-0000-0300-000002000000}"/>
            </a:ext>
          </a:extLst>
        </xdr:cNvPr>
        <xdr:cNvSpPr/>
      </xdr:nvSpPr>
      <xdr:spPr>
        <a:xfrm>
          <a:off x="0" y="0"/>
          <a:ext cx="9689040" cy="1043748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8</xdr:col>
      <xdr:colOff>700560</xdr:colOff>
      <xdr:row>51</xdr:row>
      <xdr:rowOff>24480</xdr:rowOff>
    </xdr:to>
    <xdr:sp macro="" textlink="">
      <xdr:nvSpPr>
        <xdr:cNvPr id="3" name="CustomShape 1" hidden="1">
          <a:extLst>
            <a:ext uri="{FF2B5EF4-FFF2-40B4-BE49-F238E27FC236}">
              <a16:creationId xmlns:a16="http://schemas.microsoft.com/office/drawing/2014/main" id="{00000000-0008-0000-0300-000003000000}"/>
            </a:ext>
          </a:extLst>
        </xdr:cNvPr>
        <xdr:cNvSpPr/>
      </xdr:nvSpPr>
      <xdr:spPr>
        <a:xfrm>
          <a:off x="0" y="0"/>
          <a:ext cx="10023480" cy="953136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8</xdr:col>
      <xdr:colOff>714375</xdr:colOff>
      <xdr:row>51</xdr:row>
      <xdr:rowOff>38100</xdr:rowOff>
    </xdr:to>
    <xdr:sp macro="" textlink="">
      <xdr:nvSpPr>
        <xdr:cNvPr id="1026" name="_x0000_t202" hidden="1">
          <a:extLst>
            <a:ext uri="{FF2B5EF4-FFF2-40B4-BE49-F238E27FC236}">
              <a16:creationId xmlns:a16="http://schemas.microsoft.com/office/drawing/2014/main" id="{00000000-0008-0000-03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4" name="AutoShape 2">
          <a:extLst>
            <a:ext uri="{FF2B5EF4-FFF2-40B4-BE49-F238E27FC236}">
              <a16:creationId xmlns:a16="http://schemas.microsoft.com/office/drawing/2014/main" id="{00000000-0008-0000-03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5" name="AutoShape 2">
          <a:extLst>
            <a:ext uri="{FF2B5EF4-FFF2-40B4-BE49-F238E27FC236}">
              <a16:creationId xmlns:a16="http://schemas.microsoft.com/office/drawing/2014/main" id="{00000000-0008-0000-03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6" name="AutoShape 2">
          <a:extLst>
            <a:ext uri="{FF2B5EF4-FFF2-40B4-BE49-F238E27FC236}">
              <a16:creationId xmlns:a16="http://schemas.microsoft.com/office/drawing/2014/main" id="{00000000-0008-0000-03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7" name="AutoShape 2">
          <a:extLst>
            <a:ext uri="{FF2B5EF4-FFF2-40B4-BE49-F238E27FC236}">
              <a16:creationId xmlns:a16="http://schemas.microsoft.com/office/drawing/2014/main" id="{00000000-0008-0000-03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8" name="AutoShape 2">
          <a:extLst>
            <a:ext uri="{FF2B5EF4-FFF2-40B4-BE49-F238E27FC236}">
              <a16:creationId xmlns:a16="http://schemas.microsoft.com/office/drawing/2014/main" id="{00000000-0008-0000-03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9" name="AutoShape 2">
          <a:extLst>
            <a:ext uri="{FF2B5EF4-FFF2-40B4-BE49-F238E27FC236}">
              <a16:creationId xmlns:a16="http://schemas.microsoft.com/office/drawing/2014/main" id="{00000000-0008-0000-03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10" name="AutoShape 2">
          <a:extLst>
            <a:ext uri="{FF2B5EF4-FFF2-40B4-BE49-F238E27FC236}">
              <a16:creationId xmlns:a16="http://schemas.microsoft.com/office/drawing/2014/main" id="{00000000-0008-0000-03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11" name="AutoShape 2">
          <a:extLst>
            <a:ext uri="{FF2B5EF4-FFF2-40B4-BE49-F238E27FC236}">
              <a16:creationId xmlns:a16="http://schemas.microsoft.com/office/drawing/2014/main" id="{00000000-0008-0000-03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12" name="AutoShape 2">
          <a:extLst>
            <a:ext uri="{FF2B5EF4-FFF2-40B4-BE49-F238E27FC236}">
              <a16:creationId xmlns:a16="http://schemas.microsoft.com/office/drawing/2014/main" id="{00000000-0008-0000-03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714375</xdr:colOff>
      <xdr:row>51</xdr:row>
      <xdr:rowOff>38100</xdr:rowOff>
    </xdr:to>
    <xdr:sp macro="" textlink="">
      <xdr:nvSpPr>
        <xdr:cNvPr id="13" name="AutoShape 2">
          <a:extLst>
            <a:ext uri="{FF2B5EF4-FFF2-40B4-BE49-F238E27FC236}">
              <a16:creationId xmlns:a16="http://schemas.microsoft.com/office/drawing/2014/main" id="{00000000-0008-0000-03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523875</xdr:colOff>
      <xdr:row>49</xdr:row>
      <xdr:rowOff>28575</xdr:rowOff>
    </xdr:to>
    <xdr:sp macro="" textlink="">
      <xdr:nvSpPr>
        <xdr:cNvPr id="10244" name="_x0000_t202" hidden="1">
          <a:extLst>
            <a:ext uri="{FF2B5EF4-FFF2-40B4-BE49-F238E27FC236}">
              <a16:creationId xmlns:a16="http://schemas.microsoft.com/office/drawing/2014/main" id="{00000000-0008-0000-0C00-0000042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0242" name="_x0000_t202" hidden="1">
          <a:extLst>
            <a:ext uri="{FF2B5EF4-FFF2-40B4-BE49-F238E27FC236}">
              <a16:creationId xmlns:a16="http://schemas.microsoft.com/office/drawing/2014/main" id="{00000000-0008-0000-0C00-0000022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2" name="AutoShape 4">
          <a:extLst>
            <a:ext uri="{FF2B5EF4-FFF2-40B4-BE49-F238E27FC236}">
              <a16:creationId xmlns:a16="http://schemas.microsoft.com/office/drawing/2014/main" id="{00000000-0008-0000-0C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3" name="AutoShape 2">
          <a:extLst>
            <a:ext uri="{FF2B5EF4-FFF2-40B4-BE49-F238E27FC236}">
              <a16:creationId xmlns:a16="http://schemas.microsoft.com/office/drawing/2014/main" id="{00000000-0008-0000-0C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4" name="AutoShape 4">
          <a:extLst>
            <a:ext uri="{FF2B5EF4-FFF2-40B4-BE49-F238E27FC236}">
              <a16:creationId xmlns:a16="http://schemas.microsoft.com/office/drawing/2014/main" id="{00000000-0008-0000-0C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5" name="AutoShape 2">
          <a:extLst>
            <a:ext uri="{FF2B5EF4-FFF2-40B4-BE49-F238E27FC236}">
              <a16:creationId xmlns:a16="http://schemas.microsoft.com/office/drawing/2014/main" id="{00000000-0008-0000-0C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6" name="AutoShape 4">
          <a:extLst>
            <a:ext uri="{FF2B5EF4-FFF2-40B4-BE49-F238E27FC236}">
              <a16:creationId xmlns:a16="http://schemas.microsoft.com/office/drawing/2014/main" id="{00000000-0008-0000-0C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7" name="AutoShape 2">
          <a:extLst>
            <a:ext uri="{FF2B5EF4-FFF2-40B4-BE49-F238E27FC236}">
              <a16:creationId xmlns:a16="http://schemas.microsoft.com/office/drawing/2014/main" id="{00000000-0008-0000-0C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8" name="AutoShape 4">
          <a:extLst>
            <a:ext uri="{FF2B5EF4-FFF2-40B4-BE49-F238E27FC236}">
              <a16:creationId xmlns:a16="http://schemas.microsoft.com/office/drawing/2014/main" id="{00000000-0008-0000-0C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9" name="AutoShape 2">
          <a:extLst>
            <a:ext uri="{FF2B5EF4-FFF2-40B4-BE49-F238E27FC236}">
              <a16:creationId xmlns:a16="http://schemas.microsoft.com/office/drawing/2014/main" id="{00000000-0008-0000-0C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0" name="AutoShape 4">
          <a:extLst>
            <a:ext uri="{FF2B5EF4-FFF2-40B4-BE49-F238E27FC236}">
              <a16:creationId xmlns:a16="http://schemas.microsoft.com/office/drawing/2014/main" id="{00000000-0008-0000-0C00-00000A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1" name="AutoShape 2">
          <a:extLst>
            <a:ext uri="{FF2B5EF4-FFF2-40B4-BE49-F238E27FC236}">
              <a16:creationId xmlns:a16="http://schemas.microsoft.com/office/drawing/2014/main" id="{00000000-0008-0000-0C00-00000B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2" name="AutoShape 4">
          <a:extLst>
            <a:ext uri="{FF2B5EF4-FFF2-40B4-BE49-F238E27FC236}">
              <a16:creationId xmlns:a16="http://schemas.microsoft.com/office/drawing/2014/main" id="{00000000-0008-0000-0C00-00000C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3" name="AutoShape 2">
          <a:extLst>
            <a:ext uri="{FF2B5EF4-FFF2-40B4-BE49-F238E27FC236}">
              <a16:creationId xmlns:a16="http://schemas.microsoft.com/office/drawing/2014/main" id="{00000000-0008-0000-0C00-00000D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4" name="AutoShape 4">
          <a:extLst>
            <a:ext uri="{FF2B5EF4-FFF2-40B4-BE49-F238E27FC236}">
              <a16:creationId xmlns:a16="http://schemas.microsoft.com/office/drawing/2014/main" id="{00000000-0008-0000-0C00-00000E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5" name="AutoShape 2">
          <a:extLst>
            <a:ext uri="{FF2B5EF4-FFF2-40B4-BE49-F238E27FC236}">
              <a16:creationId xmlns:a16="http://schemas.microsoft.com/office/drawing/2014/main" id="{00000000-0008-0000-0C00-00000F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6" name="AutoShape 4">
          <a:extLst>
            <a:ext uri="{FF2B5EF4-FFF2-40B4-BE49-F238E27FC236}">
              <a16:creationId xmlns:a16="http://schemas.microsoft.com/office/drawing/2014/main" id="{00000000-0008-0000-0C00-000010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7" name="AutoShape 2">
          <a:extLst>
            <a:ext uri="{FF2B5EF4-FFF2-40B4-BE49-F238E27FC236}">
              <a16:creationId xmlns:a16="http://schemas.microsoft.com/office/drawing/2014/main" id="{00000000-0008-0000-0C00-000011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8" name="AutoShape 4">
          <a:extLst>
            <a:ext uri="{FF2B5EF4-FFF2-40B4-BE49-F238E27FC236}">
              <a16:creationId xmlns:a16="http://schemas.microsoft.com/office/drawing/2014/main" id="{00000000-0008-0000-0C00-000012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523875</xdr:colOff>
      <xdr:row>49</xdr:row>
      <xdr:rowOff>28575</xdr:rowOff>
    </xdr:to>
    <xdr:sp macro="" textlink="">
      <xdr:nvSpPr>
        <xdr:cNvPr id="19" name="AutoShape 2">
          <a:extLst>
            <a:ext uri="{FF2B5EF4-FFF2-40B4-BE49-F238E27FC236}">
              <a16:creationId xmlns:a16="http://schemas.microsoft.com/office/drawing/2014/main" id="{00000000-0008-0000-0C00-000013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49</xdr:row>
      <xdr:rowOff>28575</xdr:rowOff>
    </xdr:to>
    <xdr:sp macro="" textlink="">
      <xdr:nvSpPr>
        <xdr:cNvPr id="20" name="AutoShape 4">
          <a:extLst>
            <a:ext uri="{FF2B5EF4-FFF2-40B4-BE49-F238E27FC236}">
              <a16:creationId xmlns:a16="http://schemas.microsoft.com/office/drawing/2014/main" id="{00000000-0008-0000-0C00-000014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49</xdr:row>
      <xdr:rowOff>28575</xdr:rowOff>
    </xdr:to>
    <xdr:sp macro="" textlink="">
      <xdr:nvSpPr>
        <xdr:cNvPr id="21" name="AutoShape 2">
          <a:extLst>
            <a:ext uri="{FF2B5EF4-FFF2-40B4-BE49-F238E27FC236}">
              <a16:creationId xmlns:a16="http://schemas.microsoft.com/office/drawing/2014/main" id="{00000000-0008-0000-0C00-000015000000}"/>
            </a:ext>
          </a:extLst>
        </xdr:cNvPr>
        <xdr:cNvSpPr>
          <a:spLocks noChangeArrowheads="1"/>
        </xdr:cNvSpPr>
      </xdr:nvSpPr>
      <xdr:spPr bwMode="auto">
        <a:xfrm>
          <a:off x="0" y="0"/>
          <a:ext cx="9801225"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653400</xdr:colOff>
      <xdr:row>60</xdr:row>
      <xdr:rowOff>82440</xdr:rowOff>
    </xdr:to>
    <xdr:sp macro="" textlink="">
      <xdr:nvSpPr>
        <xdr:cNvPr id="30" name="CustomShape 1" hidden="1">
          <a:extLst>
            <a:ext uri="{FF2B5EF4-FFF2-40B4-BE49-F238E27FC236}">
              <a16:creationId xmlns:a16="http://schemas.microsoft.com/office/drawing/2014/main" id="{00000000-0008-0000-0D00-00001E000000}"/>
            </a:ext>
          </a:extLst>
        </xdr:cNvPr>
        <xdr:cNvSpPr/>
      </xdr:nvSpPr>
      <xdr:spPr>
        <a:xfrm>
          <a:off x="0" y="0"/>
          <a:ext cx="9885960" cy="1030068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1" name="CustomShape 1" hidden="1">
          <a:extLst>
            <a:ext uri="{FF2B5EF4-FFF2-40B4-BE49-F238E27FC236}">
              <a16:creationId xmlns:a16="http://schemas.microsoft.com/office/drawing/2014/main" id="{00000000-0008-0000-0D00-00001F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2" name="CustomShape 1" hidden="1">
          <a:extLst>
            <a:ext uri="{FF2B5EF4-FFF2-40B4-BE49-F238E27FC236}">
              <a16:creationId xmlns:a16="http://schemas.microsoft.com/office/drawing/2014/main" id="{00000000-0008-0000-0D00-000020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3" name="CustomShape 1" hidden="1">
          <a:extLst>
            <a:ext uri="{FF2B5EF4-FFF2-40B4-BE49-F238E27FC236}">
              <a16:creationId xmlns:a16="http://schemas.microsoft.com/office/drawing/2014/main" id="{00000000-0008-0000-0D00-000021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4" name="CustomShape 1" hidden="1">
          <a:extLst>
            <a:ext uri="{FF2B5EF4-FFF2-40B4-BE49-F238E27FC236}">
              <a16:creationId xmlns:a16="http://schemas.microsoft.com/office/drawing/2014/main" id="{00000000-0008-0000-0D00-000022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5" name="CustomShape 1" hidden="1">
          <a:extLst>
            <a:ext uri="{FF2B5EF4-FFF2-40B4-BE49-F238E27FC236}">
              <a16:creationId xmlns:a16="http://schemas.microsoft.com/office/drawing/2014/main" id="{00000000-0008-0000-0D00-000023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6" name="CustomShape 1" hidden="1">
          <a:extLst>
            <a:ext uri="{FF2B5EF4-FFF2-40B4-BE49-F238E27FC236}">
              <a16:creationId xmlns:a16="http://schemas.microsoft.com/office/drawing/2014/main" id="{00000000-0008-0000-0D00-000024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7" name="CustomShape 1" hidden="1">
          <a:extLst>
            <a:ext uri="{FF2B5EF4-FFF2-40B4-BE49-F238E27FC236}">
              <a16:creationId xmlns:a16="http://schemas.microsoft.com/office/drawing/2014/main" id="{00000000-0008-0000-0D00-000025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8" name="CustomShape 1" hidden="1">
          <a:extLst>
            <a:ext uri="{FF2B5EF4-FFF2-40B4-BE49-F238E27FC236}">
              <a16:creationId xmlns:a16="http://schemas.microsoft.com/office/drawing/2014/main" id="{00000000-0008-0000-0D00-000026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39" name="CustomShape 1" hidden="1">
          <a:extLst>
            <a:ext uri="{FF2B5EF4-FFF2-40B4-BE49-F238E27FC236}">
              <a16:creationId xmlns:a16="http://schemas.microsoft.com/office/drawing/2014/main" id="{00000000-0008-0000-0D00-000027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40" name="CustomShape 1" hidden="1">
          <a:extLst>
            <a:ext uri="{FF2B5EF4-FFF2-40B4-BE49-F238E27FC236}">
              <a16:creationId xmlns:a16="http://schemas.microsoft.com/office/drawing/2014/main" id="{00000000-0008-0000-0D00-000028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788400</xdr:colOff>
      <xdr:row>54</xdr:row>
      <xdr:rowOff>172080</xdr:rowOff>
    </xdr:to>
    <xdr:sp macro="" textlink="">
      <xdr:nvSpPr>
        <xdr:cNvPr id="41" name="CustomShape 1" hidden="1">
          <a:extLst>
            <a:ext uri="{FF2B5EF4-FFF2-40B4-BE49-F238E27FC236}">
              <a16:creationId xmlns:a16="http://schemas.microsoft.com/office/drawing/2014/main" id="{00000000-0008-0000-0D00-000029000000}"/>
            </a:ext>
          </a:extLst>
        </xdr:cNvPr>
        <xdr:cNvSpPr/>
      </xdr:nvSpPr>
      <xdr:spPr>
        <a:xfrm>
          <a:off x="0" y="0"/>
          <a:ext cx="10020960" cy="928908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800100</xdr:colOff>
      <xdr:row>55</xdr:row>
      <xdr:rowOff>9525</xdr:rowOff>
    </xdr:to>
    <xdr:sp macro="" textlink="">
      <xdr:nvSpPr>
        <xdr:cNvPr id="11278" name="_x0000_t202" hidden="1">
          <a:extLst>
            <a:ext uri="{FF2B5EF4-FFF2-40B4-BE49-F238E27FC236}">
              <a16:creationId xmlns:a16="http://schemas.microsoft.com/office/drawing/2014/main" id="{00000000-0008-0000-0D00-00000E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6" name="_x0000_t202" hidden="1">
          <a:extLst>
            <a:ext uri="{FF2B5EF4-FFF2-40B4-BE49-F238E27FC236}">
              <a16:creationId xmlns:a16="http://schemas.microsoft.com/office/drawing/2014/main" id="{00000000-0008-0000-0D00-00000C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4" name="_x0000_t202" hidden="1">
          <a:extLst>
            <a:ext uri="{FF2B5EF4-FFF2-40B4-BE49-F238E27FC236}">
              <a16:creationId xmlns:a16="http://schemas.microsoft.com/office/drawing/2014/main" id="{00000000-0008-0000-0D00-00000A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2" name="_x0000_t202" hidden="1">
          <a:extLst>
            <a:ext uri="{FF2B5EF4-FFF2-40B4-BE49-F238E27FC236}">
              <a16:creationId xmlns:a16="http://schemas.microsoft.com/office/drawing/2014/main" id="{00000000-0008-0000-0D00-000008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0" name="_x0000_t202" hidden="1">
          <a:extLst>
            <a:ext uri="{FF2B5EF4-FFF2-40B4-BE49-F238E27FC236}">
              <a16:creationId xmlns:a16="http://schemas.microsoft.com/office/drawing/2014/main" id="{00000000-0008-0000-0D00-000006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68" name="_x0000_t202" hidden="1">
          <a:extLst>
            <a:ext uri="{FF2B5EF4-FFF2-40B4-BE49-F238E27FC236}">
              <a16:creationId xmlns:a16="http://schemas.microsoft.com/office/drawing/2014/main" id="{00000000-0008-0000-0D00-000004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66" name="_x0000_t202" hidden="1">
          <a:extLst>
            <a:ext uri="{FF2B5EF4-FFF2-40B4-BE49-F238E27FC236}">
              <a16:creationId xmlns:a16="http://schemas.microsoft.com/office/drawing/2014/main" id="{00000000-0008-0000-0D00-0000022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 name="AutoShape 14">
          <a:extLst>
            <a:ext uri="{FF2B5EF4-FFF2-40B4-BE49-F238E27FC236}">
              <a16:creationId xmlns:a16="http://schemas.microsoft.com/office/drawing/2014/main" id="{00000000-0008-0000-0D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3" name="AutoShape 12">
          <a:extLst>
            <a:ext uri="{FF2B5EF4-FFF2-40B4-BE49-F238E27FC236}">
              <a16:creationId xmlns:a16="http://schemas.microsoft.com/office/drawing/2014/main" id="{00000000-0008-0000-0D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 name="AutoShape 10">
          <a:extLst>
            <a:ext uri="{FF2B5EF4-FFF2-40B4-BE49-F238E27FC236}">
              <a16:creationId xmlns:a16="http://schemas.microsoft.com/office/drawing/2014/main" id="{00000000-0008-0000-0D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 name="AutoShape 8">
          <a:extLst>
            <a:ext uri="{FF2B5EF4-FFF2-40B4-BE49-F238E27FC236}">
              <a16:creationId xmlns:a16="http://schemas.microsoft.com/office/drawing/2014/main" id="{00000000-0008-0000-0D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6" name="AutoShape 6">
          <a:extLst>
            <a:ext uri="{FF2B5EF4-FFF2-40B4-BE49-F238E27FC236}">
              <a16:creationId xmlns:a16="http://schemas.microsoft.com/office/drawing/2014/main" id="{00000000-0008-0000-0D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7" name="AutoShape 4">
          <a:extLst>
            <a:ext uri="{FF2B5EF4-FFF2-40B4-BE49-F238E27FC236}">
              <a16:creationId xmlns:a16="http://schemas.microsoft.com/office/drawing/2014/main" id="{00000000-0008-0000-0D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8" name="AutoShape 2">
          <a:extLst>
            <a:ext uri="{FF2B5EF4-FFF2-40B4-BE49-F238E27FC236}">
              <a16:creationId xmlns:a16="http://schemas.microsoft.com/office/drawing/2014/main" id="{00000000-0008-0000-0D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9" name="AutoShape 14">
          <a:extLst>
            <a:ext uri="{FF2B5EF4-FFF2-40B4-BE49-F238E27FC236}">
              <a16:creationId xmlns:a16="http://schemas.microsoft.com/office/drawing/2014/main" id="{00000000-0008-0000-0D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0" name="AutoShape 12">
          <a:extLst>
            <a:ext uri="{FF2B5EF4-FFF2-40B4-BE49-F238E27FC236}">
              <a16:creationId xmlns:a16="http://schemas.microsoft.com/office/drawing/2014/main" id="{00000000-0008-0000-0D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 name="AutoShape 10">
          <a:extLst>
            <a:ext uri="{FF2B5EF4-FFF2-40B4-BE49-F238E27FC236}">
              <a16:creationId xmlns:a16="http://schemas.microsoft.com/office/drawing/2014/main" id="{00000000-0008-0000-0D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2" name="AutoShape 8">
          <a:extLst>
            <a:ext uri="{FF2B5EF4-FFF2-40B4-BE49-F238E27FC236}">
              <a16:creationId xmlns:a16="http://schemas.microsoft.com/office/drawing/2014/main" id="{00000000-0008-0000-0D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3" name="AutoShape 6">
          <a:extLst>
            <a:ext uri="{FF2B5EF4-FFF2-40B4-BE49-F238E27FC236}">
              <a16:creationId xmlns:a16="http://schemas.microsoft.com/office/drawing/2014/main" id="{00000000-0008-0000-0D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4" name="AutoShape 4">
          <a:extLst>
            <a:ext uri="{FF2B5EF4-FFF2-40B4-BE49-F238E27FC236}">
              <a16:creationId xmlns:a16="http://schemas.microsoft.com/office/drawing/2014/main" id="{00000000-0008-0000-0D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5" name="AutoShape 2">
          <a:extLst>
            <a:ext uri="{FF2B5EF4-FFF2-40B4-BE49-F238E27FC236}">
              <a16:creationId xmlns:a16="http://schemas.microsoft.com/office/drawing/2014/main" id="{00000000-0008-0000-0D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6" name="AutoShape 14">
          <a:extLst>
            <a:ext uri="{FF2B5EF4-FFF2-40B4-BE49-F238E27FC236}">
              <a16:creationId xmlns:a16="http://schemas.microsoft.com/office/drawing/2014/main" id="{00000000-0008-0000-0D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7" name="AutoShape 12">
          <a:extLst>
            <a:ext uri="{FF2B5EF4-FFF2-40B4-BE49-F238E27FC236}">
              <a16:creationId xmlns:a16="http://schemas.microsoft.com/office/drawing/2014/main" id="{00000000-0008-0000-0D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8" name="AutoShape 10">
          <a:extLst>
            <a:ext uri="{FF2B5EF4-FFF2-40B4-BE49-F238E27FC236}">
              <a16:creationId xmlns:a16="http://schemas.microsoft.com/office/drawing/2014/main" id="{00000000-0008-0000-0D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9" name="AutoShape 8">
          <a:extLst>
            <a:ext uri="{FF2B5EF4-FFF2-40B4-BE49-F238E27FC236}">
              <a16:creationId xmlns:a16="http://schemas.microsoft.com/office/drawing/2014/main" id="{00000000-0008-0000-0D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0" name="AutoShape 6">
          <a:extLst>
            <a:ext uri="{FF2B5EF4-FFF2-40B4-BE49-F238E27FC236}">
              <a16:creationId xmlns:a16="http://schemas.microsoft.com/office/drawing/2014/main" id="{00000000-0008-0000-0D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1" name="AutoShape 4">
          <a:extLst>
            <a:ext uri="{FF2B5EF4-FFF2-40B4-BE49-F238E27FC236}">
              <a16:creationId xmlns:a16="http://schemas.microsoft.com/office/drawing/2014/main" id="{00000000-0008-0000-0D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2" name="AutoShape 2">
          <a:extLst>
            <a:ext uri="{FF2B5EF4-FFF2-40B4-BE49-F238E27FC236}">
              <a16:creationId xmlns:a16="http://schemas.microsoft.com/office/drawing/2014/main" id="{00000000-0008-0000-0D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3" name="AutoShape 14">
          <a:extLst>
            <a:ext uri="{FF2B5EF4-FFF2-40B4-BE49-F238E27FC236}">
              <a16:creationId xmlns:a16="http://schemas.microsoft.com/office/drawing/2014/main" id="{00000000-0008-0000-0D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4" name="AutoShape 12">
          <a:extLst>
            <a:ext uri="{FF2B5EF4-FFF2-40B4-BE49-F238E27FC236}">
              <a16:creationId xmlns:a16="http://schemas.microsoft.com/office/drawing/2014/main" id="{00000000-0008-0000-0D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5" name="AutoShape 10">
          <a:extLst>
            <a:ext uri="{FF2B5EF4-FFF2-40B4-BE49-F238E27FC236}">
              <a16:creationId xmlns:a16="http://schemas.microsoft.com/office/drawing/2014/main" id="{00000000-0008-0000-0D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6" name="AutoShape 8">
          <a:extLst>
            <a:ext uri="{FF2B5EF4-FFF2-40B4-BE49-F238E27FC236}">
              <a16:creationId xmlns:a16="http://schemas.microsoft.com/office/drawing/2014/main" id="{00000000-0008-0000-0D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7" name="AutoShape 6">
          <a:extLst>
            <a:ext uri="{FF2B5EF4-FFF2-40B4-BE49-F238E27FC236}">
              <a16:creationId xmlns:a16="http://schemas.microsoft.com/office/drawing/2014/main" id="{00000000-0008-0000-0D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8" name="AutoShape 4">
          <a:extLst>
            <a:ext uri="{FF2B5EF4-FFF2-40B4-BE49-F238E27FC236}">
              <a16:creationId xmlns:a16="http://schemas.microsoft.com/office/drawing/2014/main" id="{00000000-0008-0000-0D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29" name="AutoShape 2">
          <a:extLst>
            <a:ext uri="{FF2B5EF4-FFF2-40B4-BE49-F238E27FC236}">
              <a16:creationId xmlns:a16="http://schemas.microsoft.com/office/drawing/2014/main" id="{00000000-0008-0000-0D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2" name="AutoShape 14">
          <a:extLst>
            <a:ext uri="{FF2B5EF4-FFF2-40B4-BE49-F238E27FC236}">
              <a16:creationId xmlns:a16="http://schemas.microsoft.com/office/drawing/2014/main" id="{00000000-0008-0000-0D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3" name="AutoShape 12">
          <a:extLst>
            <a:ext uri="{FF2B5EF4-FFF2-40B4-BE49-F238E27FC236}">
              <a16:creationId xmlns:a16="http://schemas.microsoft.com/office/drawing/2014/main" id="{00000000-0008-0000-0D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4" name="AutoShape 10">
          <a:extLst>
            <a:ext uri="{FF2B5EF4-FFF2-40B4-BE49-F238E27FC236}">
              <a16:creationId xmlns:a16="http://schemas.microsoft.com/office/drawing/2014/main" id="{00000000-0008-0000-0D00-00002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5" name="AutoShape 8">
          <a:extLst>
            <a:ext uri="{FF2B5EF4-FFF2-40B4-BE49-F238E27FC236}">
              <a16:creationId xmlns:a16="http://schemas.microsoft.com/office/drawing/2014/main" id="{00000000-0008-0000-0D00-00002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6" name="AutoShape 6">
          <a:extLst>
            <a:ext uri="{FF2B5EF4-FFF2-40B4-BE49-F238E27FC236}">
              <a16:creationId xmlns:a16="http://schemas.microsoft.com/office/drawing/2014/main" id="{00000000-0008-0000-0D00-00002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7" name="AutoShape 4">
          <a:extLst>
            <a:ext uri="{FF2B5EF4-FFF2-40B4-BE49-F238E27FC236}">
              <a16:creationId xmlns:a16="http://schemas.microsoft.com/office/drawing/2014/main" id="{00000000-0008-0000-0D00-00002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8" name="AutoShape 2">
          <a:extLst>
            <a:ext uri="{FF2B5EF4-FFF2-40B4-BE49-F238E27FC236}">
              <a16:creationId xmlns:a16="http://schemas.microsoft.com/office/drawing/2014/main" id="{00000000-0008-0000-0D00-00003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49" name="AutoShape 14">
          <a:extLst>
            <a:ext uri="{FF2B5EF4-FFF2-40B4-BE49-F238E27FC236}">
              <a16:creationId xmlns:a16="http://schemas.microsoft.com/office/drawing/2014/main" id="{00000000-0008-0000-0D00-00003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0" name="AutoShape 12">
          <a:extLst>
            <a:ext uri="{FF2B5EF4-FFF2-40B4-BE49-F238E27FC236}">
              <a16:creationId xmlns:a16="http://schemas.microsoft.com/office/drawing/2014/main" id="{00000000-0008-0000-0D00-00003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1" name="AutoShape 10">
          <a:extLst>
            <a:ext uri="{FF2B5EF4-FFF2-40B4-BE49-F238E27FC236}">
              <a16:creationId xmlns:a16="http://schemas.microsoft.com/office/drawing/2014/main" id="{00000000-0008-0000-0D00-00003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2" name="AutoShape 8">
          <a:extLst>
            <a:ext uri="{FF2B5EF4-FFF2-40B4-BE49-F238E27FC236}">
              <a16:creationId xmlns:a16="http://schemas.microsoft.com/office/drawing/2014/main" id="{00000000-0008-0000-0D00-00003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3" name="AutoShape 6">
          <a:extLst>
            <a:ext uri="{FF2B5EF4-FFF2-40B4-BE49-F238E27FC236}">
              <a16:creationId xmlns:a16="http://schemas.microsoft.com/office/drawing/2014/main" id="{00000000-0008-0000-0D00-00003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4" name="AutoShape 4">
          <a:extLst>
            <a:ext uri="{FF2B5EF4-FFF2-40B4-BE49-F238E27FC236}">
              <a16:creationId xmlns:a16="http://schemas.microsoft.com/office/drawing/2014/main" id="{00000000-0008-0000-0D00-00003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5" name="AutoShape 2">
          <a:extLst>
            <a:ext uri="{FF2B5EF4-FFF2-40B4-BE49-F238E27FC236}">
              <a16:creationId xmlns:a16="http://schemas.microsoft.com/office/drawing/2014/main" id="{00000000-0008-0000-0D00-00003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6" name="AutoShape 14">
          <a:extLst>
            <a:ext uri="{FF2B5EF4-FFF2-40B4-BE49-F238E27FC236}">
              <a16:creationId xmlns:a16="http://schemas.microsoft.com/office/drawing/2014/main" id="{00000000-0008-0000-0D00-00003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7" name="AutoShape 12">
          <a:extLst>
            <a:ext uri="{FF2B5EF4-FFF2-40B4-BE49-F238E27FC236}">
              <a16:creationId xmlns:a16="http://schemas.microsoft.com/office/drawing/2014/main" id="{00000000-0008-0000-0D00-00003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8" name="AutoShape 10">
          <a:extLst>
            <a:ext uri="{FF2B5EF4-FFF2-40B4-BE49-F238E27FC236}">
              <a16:creationId xmlns:a16="http://schemas.microsoft.com/office/drawing/2014/main" id="{00000000-0008-0000-0D00-00003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59" name="AutoShape 8">
          <a:extLst>
            <a:ext uri="{FF2B5EF4-FFF2-40B4-BE49-F238E27FC236}">
              <a16:creationId xmlns:a16="http://schemas.microsoft.com/office/drawing/2014/main" id="{00000000-0008-0000-0D00-00003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60" name="AutoShape 6">
          <a:extLst>
            <a:ext uri="{FF2B5EF4-FFF2-40B4-BE49-F238E27FC236}">
              <a16:creationId xmlns:a16="http://schemas.microsoft.com/office/drawing/2014/main" id="{00000000-0008-0000-0D00-00003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61" name="AutoShape 4">
          <a:extLst>
            <a:ext uri="{FF2B5EF4-FFF2-40B4-BE49-F238E27FC236}">
              <a16:creationId xmlns:a16="http://schemas.microsoft.com/office/drawing/2014/main" id="{00000000-0008-0000-0D00-00003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62" name="AutoShape 2">
          <a:extLst>
            <a:ext uri="{FF2B5EF4-FFF2-40B4-BE49-F238E27FC236}">
              <a16:creationId xmlns:a16="http://schemas.microsoft.com/office/drawing/2014/main" id="{00000000-0008-0000-0D00-00003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63" name="AutoShape 14">
          <a:extLst>
            <a:ext uri="{FF2B5EF4-FFF2-40B4-BE49-F238E27FC236}">
              <a16:creationId xmlns:a16="http://schemas.microsoft.com/office/drawing/2014/main" id="{00000000-0008-0000-0D00-00003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64" name="AutoShape 12">
          <a:extLst>
            <a:ext uri="{FF2B5EF4-FFF2-40B4-BE49-F238E27FC236}">
              <a16:creationId xmlns:a16="http://schemas.microsoft.com/office/drawing/2014/main" id="{00000000-0008-0000-0D00-000000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65" name="AutoShape 10">
          <a:extLst>
            <a:ext uri="{FF2B5EF4-FFF2-40B4-BE49-F238E27FC236}">
              <a16:creationId xmlns:a16="http://schemas.microsoft.com/office/drawing/2014/main" id="{00000000-0008-0000-0D00-000001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67" name="AutoShape 8">
          <a:extLst>
            <a:ext uri="{FF2B5EF4-FFF2-40B4-BE49-F238E27FC236}">
              <a16:creationId xmlns:a16="http://schemas.microsoft.com/office/drawing/2014/main" id="{00000000-0008-0000-0D00-000003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69" name="AutoShape 6">
          <a:extLst>
            <a:ext uri="{FF2B5EF4-FFF2-40B4-BE49-F238E27FC236}">
              <a16:creationId xmlns:a16="http://schemas.microsoft.com/office/drawing/2014/main" id="{00000000-0008-0000-0D00-000005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1" name="AutoShape 4">
          <a:extLst>
            <a:ext uri="{FF2B5EF4-FFF2-40B4-BE49-F238E27FC236}">
              <a16:creationId xmlns:a16="http://schemas.microsoft.com/office/drawing/2014/main" id="{00000000-0008-0000-0D00-000007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3" name="AutoShape 2">
          <a:extLst>
            <a:ext uri="{FF2B5EF4-FFF2-40B4-BE49-F238E27FC236}">
              <a16:creationId xmlns:a16="http://schemas.microsoft.com/office/drawing/2014/main" id="{00000000-0008-0000-0D00-000009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5" name="AutoShape 14">
          <a:extLst>
            <a:ext uri="{FF2B5EF4-FFF2-40B4-BE49-F238E27FC236}">
              <a16:creationId xmlns:a16="http://schemas.microsoft.com/office/drawing/2014/main" id="{00000000-0008-0000-0D00-00000B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7" name="AutoShape 12">
          <a:extLst>
            <a:ext uri="{FF2B5EF4-FFF2-40B4-BE49-F238E27FC236}">
              <a16:creationId xmlns:a16="http://schemas.microsoft.com/office/drawing/2014/main" id="{00000000-0008-0000-0D00-00000D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79" name="AutoShape 10">
          <a:extLst>
            <a:ext uri="{FF2B5EF4-FFF2-40B4-BE49-F238E27FC236}">
              <a16:creationId xmlns:a16="http://schemas.microsoft.com/office/drawing/2014/main" id="{00000000-0008-0000-0D00-00000F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0" name="AutoShape 8">
          <a:extLst>
            <a:ext uri="{FF2B5EF4-FFF2-40B4-BE49-F238E27FC236}">
              <a16:creationId xmlns:a16="http://schemas.microsoft.com/office/drawing/2014/main" id="{00000000-0008-0000-0D00-000010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1" name="AutoShape 6">
          <a:extLst>
            <a:ext uri="{FF2B5EF4-FFF2-40B4-BE49-F238E27FC236}">
              <a16:creationId xmlns:a16="http://schemas.microsoft.com/office/drawing/2014/main" id="{00000000-0008-0000-0D00-000011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2" name="AutoShape 4">
          <a:extLst>
            <a:ext uri="{FF2B5EF4-FFF2-40B4-BE49-F238E27FC236}">
              <a16:creationId xmlns:a16="http://schemas.microsoft.com/office/drawing/2014/main" id="{00000000-0008-0000-0D00-000012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3" name="AutoShape 2">
          <a:extLst>
            <a:ext uri="{FF2B5EF4-FFF2-40B4-BE49-F238E27FC236}">
              <a16:creationId xmlns:a16="http://schemas.microsoft.com/office/drawing/2014/main" id="{00000000-0008-0000-0D00-000013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4" name="AutoShape 14">
          <a:extLst>
            <a:ext uri="{FF2B5EF4-FFF2-40B4-BE49-F238E27FC236}">
              <a16:creationId xmlns:a16="http://schemas.microsoft.com/office/drawing/2014/main" id="{00000000-0008-0000-0D00-000014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5" name="AutoShape 12">
          <a:extLst>
            <a:ext uri="{FF2B5EF4-FFF2-40B4-BE49-F238E27FC236}">
              <a16:creationId xmlns:a16="http://schemas.microsoft.com/office/drawing/2014/main" id="{00000000-0008-0000-0D00-000015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6" name="AutoShape 10">
          <a:extLst>
            <a:ext uri="{FF2B5EF4-FFF2-40B4-BE49-F238E27FC236}">
              <a16:creationId xmlns:a16="http://schemas.microsoft.com/office/drawing/2014/main" id="{00000000-0008-0000-0D00-000016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7" name="AutoShape 8">
          <a:extLst>
            <a:ext uri="{FF2B5EF4-FFF2-40B4-BE49-F238E27FC236}">
              <a16:creationId xmlns:a16="http://schemas.microsoft.com/office/drawing/2014/main" id="{00000000-0008-0000-0D00-000017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8" name="AutoShape 6">
          <a:extLst>
            <a:ext uri="{FF2B5EF4-FFF2-40B4-BE49-F238E27FC236}">
              <a16:creationId xmlns:a16="http://schemas.microsoft.com/office/drawing/2014/main" id="{00000000-0008-0000-0D00-000018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89" name="AutoShape 4">
          <a:extLst>
            <a:ext uri="{FF2B5EF4-FFF2-40B4-BE49-F238E27FC236}">
              <a16:creationId xmlns:a16="http://schemas.microsoft.com/office/drawing/2014/main" id="{00000000-0008-0000-0D00-000019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800100</xdr:colOff>
      <xdr:row>55</xdr:row>
      <xdr:rowOff>9525</xdr:rowOff>
    </xdr:to>
    <xdr:sp macro="" textlink="">
      <xdr:nvSpPr>
        <xdr:cNvPr id="11290" name="AutoShape 2">
          <a:extLst>
            <a:ext uri="{FF2B5EF4-FFF2-40B4-BE49-F238E27FC236}">
              <a16:creationId xmlns:a16="http://schemas.microsoft.com/office/drawing/2014/main" id="{00000000-0008-0000-0D00-00001A2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1063080</xdr:colOff>
      <xdr:row>57</xdr:row>
      <xdr:rowOff>33840</xdr:rowOff>
    </xdr:to>
    <xdr:sp macro="" textlink="">
      <xdr:nvSpPr>
        <xdr:cNvPr id="42" name="CustomShape 1" hidden="1">
          <a:extLst>
            <a:ext uri="{FF2B5EF4-FFF2-40B4-BE49-F238E27FC236}">
              <a16:creationId xmlns:a16="http://schemas.microsoft.com/office/drawing/2014/main" id="{00000000-0008-0000-0E00-00002A000000}"/>
            </a:ext>
          </a:extLst>
        </xdr:cNvPr>
        <xdr:cNvSpPr/>
      </xdr:nvSpPr>
      <xdr:spPr>
        <a:xfrm>
          <a:off x="0" y="0"/>
          <a:ext cx="100036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1076325</xdr:colOff>
      <xdr:row>57</xdr:row>
      <xdr:rowOff>47625</xdr:rowOff>
    </xdr:to>
    <xdr:sp macro="" textlink="">
      <xdr:nvSpPr>
        <xdr:cNvPr id="12290" name="_x0000_t202" hidden="1">
          <a:extLst>
            <a:ext uri="{FF2B5EF4-FFF2-40B4-BE49-F238E27FC236}">
              <a16:creationId xmlns:a16="http://schemas.microsoft.com/office/drawing/2014/main" id="{00000000-0008-0000-0E00-0000023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2" name="AutoShape 2">
          <a:extLst>
            <a:ext uri="{FF2B5EF4-FFF2-40B4-BE49-F238E27FC236}">
              <a16:creationId xmlns:a16="http://schemas.microsoft.com/office/drawing/2014/main" id="{00000000-0008-0000-0E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3" name="AutoShap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4" name="AutoShape 2">
          <a:extLst>
            <a:ext uri="{FF2B5EF4-FFF2-40B4-BE49-F238E27FC236}">
              <a16:creationId xmlns:a16="http://schemas.microsoft.com/office/drawing/2014/main" id="{00000000-0008-0000-0E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5" name="AutoShape 2">
          <a:extLst>
            <a:ext uri="{FF2B5EF4-FFF2-40B4-BE49-F238E27FC236}">
              <a16:creationId xmlns:a16="http://schemas.microsoft.com/office/drawing/2014/main" id="{00000000-0008-0000-0E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6" name="AutoShape 2">
          <a:extLst>
            <a:ext uri="{FF2B5EF4-FFF2-40B4-BE49-F238E27FC236}">
              <a16:creationId xmlns:a16="http://schemas.microsoft.com/office/drawing/2014/main" id="{00000000-0008-0000-0E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7" name="AutoShape 2">
          <a:extLst>
            <a:ext uri="{FF2B5EF4-FFF2-40B4-BE49-F238E27FC236}">
              <a16:creationId xmlns:a16="http://schemas.microsoft.com/office/drawing/2014/main" id="{00000000-0008-0000-0E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8" name="AutoShape 2">
          <a:extLst>
            <a:ext uri="{FF2B5EF4-FFF2-40B4-BE49-F238E27FC236}">
              <a16:creationId xmlns:a16="http://schemas.microsoft.com/office/drawing/2014/main" id="{00000000-0008-0000-0E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9" name="AutoShape 2">
          <a:extLst>
            <a:ext uri="{FF2B5EF4-FFF2-40B4-BE49-F238E27FC236}">
              <a16:creationId xmlns:a16="http://schemas.microsoft.com/office/drawing/2014/main" id="{00000000-0008-0000-0E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10" name="AutoShape 2">
          <a:extLst>
            <a:ext uri="{FF2B5EF4-FFF2-40B4-BE49-F238E27FC236}">
              <a16:creationId xmlns:a16="http://schemas.microsoft.com/office/drawing/2014/main" id="{00000000-0008-0000-0E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1076325</xdr:colOff>
      <xdr:row>57</xdr:row>
      <xdr:rowOff>47625</xdr:rowOff>
    </xdr:to>
    <xdr:sp macro="" textlink="">
      <xdr:nvSpPr>
        <xdr:cNvPr id="11" name="AutoShape 2">
          <a:extLst>
            <a:ext uri="{FF2B5EF4-FFF2-40B4-BE49-F238E27FC236}">
              <a16:creationId xmlns:a16="http://schemas.microsoft.com/office/drawing/2014/main" id="{00000000-0008-0000-0E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415440</xdr:colOff>
      <xdr:row>58</xdr:row>
      <xdr:rowOff>91440</xdr:rowOff>
    </xdr:to>
    <xdr:sp macro="" textlink="">
      <xdr:nvSpPr>
        <xdr:cNvPr id="43" name="CustomShape 1" hidden="1">
          <a:extLst>
            <a:ext uri="{FF2B5EF4-FFF2-40B4-BE49-F238E27FC236}">
              <a16:creationId xmlns:a16="http://schemas.microsoft.com/office/drawing/2014/main" id="{00000000-0008-0000-0F00-00002B000000}"/>
            </a:ext>
          </a:extLst>
        </xdr:cNvPr>
        <xdr:cNvSpPr/>
      </xdr:nvSpPr>
      <xdr:spPr>
        <a:xfrm>
          <a:off x="0" y="0"/>
          <a:ext cx="10041840" cy="96397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3</xdr:col>
      <xdr:colOff>428625</xdr:colOff>
      <xdr:row>57</xdr:row>
      <xdr:rowOff>142875</xdr:rowOff>
    </xdr:to>
    <xdr:sp macro="" textlink="">
      <xdr:nvSpPr>
        <xdr:cNvPr id="13314" name="_x0000_t202" hidden="1">
          <a:extLst>
            <a:ext uri="{FF2B5EF4-FFF2-40B4-BE49-F238E27FC236}">
              <a16:creationId xmlns:a16="http://schemas.microsoft.com/office/drawing/2014/main" id="{00000000-0008-0000-0F00-0000023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2" name="AutoShape 2">
          <a:extLst>
            <a:ext uri="{FF2B5EF4-FFF2-40B4-BE49-F238E27FC236}">
              <a16:creationId xmlns:a16="http://schemas.microsoft.com/office/drawing/2014/main" id="{00000000-0008-0000-0F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3" name="AutoShape 2">
          <a:extLst>
            <a:ext uri="{FF2B5EF4-FFF2-40B4-BE49-F238E27FC236}">
              <a16:creationId xmlns:a16="http://schemas.microsoft.com/office/drawing/2014/main" id="{00000000-0008-0000-0F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4" name="AutoShape 2">
          <a:extLst>
            <a:ext uri="{FF2B5EF4-FFF2-40B4-BE49-F238E27FC236}">
              <a16:creationId xmlns:a16="http://schemas.microsoft.com/office/drawing/2014/main" id="{00000000-0008-0000-0F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5" name="AutoShape 2">
          <a:extLst>
            <a:ext uri="{FF2B5EF4-FFF2-40B4-BE49-F238E27FC236}">
              <a16:creationId xmlns:a16="http://schemas.microsoft.com/office/drawing/2014/main" id="{00000000-0008-0000-0F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6" name="AutoShape 2">
          <a:extLst>
            <a:ext uri="{FF2B5EF4-FFF2-40B4-BE49-F238E27FC236}">
              <a16:creationId xmlns:a16="http://schemas.microsoft.com/office/drawing/2014/main" id="{00000000-0008-0000-0F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7" name="AutoShape 2">
          <a:extLst>
            <a:ext uri="{FF2B5EF4-FFF2-40B4-BE49-F238E27FC236}">
              <a16:creationId xmlns:a16="http://schemas.microsoft.com/office/drawing/2014/main" id="{00000000-0008-0000-0F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8" name="AutoShape 2">
          <a:extLst>
            <a:ext uri="{FF2B5EF4-FFF2-40B4-BE49-F238E27FC236}">
              <a16:creationId xmlns:a16="http://schemas.microsoft.com/office/drawing/2014/main" id="{00000000-0008-0000-0F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9" name="AutoShape 2">
          <a:extLst>
            <a:ext uri="{FF2B5EF4-FFF2-40B4-BE49-F238E27FC236}">
              <a16:creationId xmlns:a16="http://schemas.microsoft.com/office/drawing/2014/main" id="{00000000-0008-0000-0F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10" name="AutoShape 2">
          <a:extLst>
            <a:ext uri="{FF2B5EF4-FFF2-40B4-BE49-F238E27FC236}">
              <a16:creationId xmlns:a16="http://schemas.microsoft.com/office/drawing/2014/main" id="{00000000-0008-0000-0F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428625</xdr:colOff>
      <xdr:row>57</xdr:row>
      <xdr:rowOff>142875</xdr:rowOff>
    </xdr:to>
    <xdr:sp macro="" textlink="">
      <xdr:nvSpPr>
        <xdr:cNvPr id="11" name="AutoShape 2">
          <a:extLst>
            <a:ext uri="{FF2B5EF4-FFF2-40B4-BE49-F238E27FC236}">
              <a16:creationId xmlns:a16="http://schemas.microsoft.com/office/drawing/2014/main" id="{00000000-0008-0000-0F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852480</xdr:colOff>
      <xdr:row>58</xdr:row>
      <xdr:rowOff>5040</xdr:rowOff>
    </xdr:to>
    <xdr:sp macro="" textlink="">
      <xdr:nvSpPr>
        <xdr:cNvPr id="44" name="CustomShape 1" hidden="1">
          <a:extLst>
            <a:ext uri="{FF2B5EF4-FFF2-40B4-BE49-F238E27FC236}">
              <a16:creationId xmlns:a16="http://schemas.microsoft.com/office/drawing/2014/main" id="{00000000-0008-0000-1000-00002C000000}"/>
            </a:ext>
          </a:extLst>
        </xdr:cNvPr>
        <xdr:cNvSpPr/>
      </xdr:nvSpPr>
      <xdr:spPr>
        <a:xfrm>
          <a:off x="0" y="0"/>
          <a:ext cx="14051520" cy="1008216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45" name="CustomShape 1" hidden="1">
          <a:extLst>
            <a:ext uri="{FF2B5EF4-FFF2-40B4-BE49-F238E27FC236}">
              <a16:creationId xmlns:a16="http://schemas.microsoft.com/office/drawing/2014/main" id="{00000000-0008-0000-1000-00002D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46" name="CustomShape 1" hidden="1">
          <a:extLst>
            <a:ext uri="{FF2B5EF4-FFF2-40B4-BE49-F238E27FC236}">
              <a16:creationId xmlns:a16="http://schemas.microsoft.com/office/drawing/2014/main" id="{00000000-0008-0000-1000-00002E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47" name="CustomShape 1" hidden="1">
          <a:extLst>
            <a:ext uri="{FF2B5EF4-FFF2-40B4-BE49-F238E27FC236}">
              <a16:creationId xmlns:a16="http://schemas.microsoft.com/office/drawing/2014/main" id="{00000000-0008-0000-1000-00002F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48" name="CustomShape 1" hidden="1">
          <a:extLst>
            <a:ext uri="{FF2B5EF4-FFF2-40B4-BE49-F238E27FC236}">
              <a16:creationId xmlns:a16="http://schemas.microsoft.com/office/drawing/2014/main" id="{00000000-0008-0000-1000-000030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49" name="CustomShape 1" hidden="1">
          <a:extLst>
            <a:ext uri="{FF2B5EF4-FFF2-40B4-BE49-F238E27FC236}">
              <a16:creationId xmlns:a16="http://schemas.microsoft.com/office/drawing/2014/main" id="{00000000-0008-0000-1000-000031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50" name="CustomShape 1" hidden="1">
          <a:extLst>
            <a:ext uri="{FF2B5EF4-FFF2-40B4-BE49-F238E27FC236}">
              <a16:creationId xmlns:a16="http://schemas.microsoft.com/office/drawing/2014/main" id="{00000000-0008-0000-1000-000032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51" name="CustomShape 1" hidden="1">
          <a:extLst>
            <a:ext uri="{FF2B5EF4-FFF2-40B4-BE49-F238E27FC236}">
              <a16:creationId xmlns:a16="http://schemas.microsoft.com/office/drawing/2014/main" id="{00000000-0008-0000-1000-000033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882000</xdr:colOff>
      <xdr:row>55</xdr:row>
      <xdr:rowOff>5400</xdr:rowOff>
    </xdr:to>
    <xdr:sp macro="" textlink="">
      <xdr:nvSpPr>
        <xdr:cNvPr id="52" name="CustomShape 1" hidden="1">
          <a:extLst>
            <a:ext uri="{FF2B5EF4-FFF2-40B4-BE49-F238E27FC236}">
              <a16:creationId xmlns:a16="http://schemas.microsoft.com/office/drawing/2014/main" id="{00000000-0008-0000-1000-000034000000}"/>
            </a:ext>
          </a:extLst>
        </xdr:cNvPr>
        <xdr:cNvSpPr/>
      </xdr:nvSpPr>
      <xdr:spPr>
        <a:xfrm>
          <a:off x="0" y="0"/>
          <a:ext cx="1099728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4</xdr:col>
      <xdr:colOff>1743075</xdr:colOff>
      <xdr:row>55</xdr:row>
      <xdr:rowOff>19050</xdr:rowOff>
    </xdr:to>
    <xdr:sp macro="" textlink="">
      <xdr:nvSpPr>
        <xdr:cNvPr id="14362" name="_x0000_t202" hidden="1">
          <a:extLst>
            <a:ext uri="{FF2B5EF4-FFF2-40B4-BE49-F238E27FC236}">
              <a16:creationId xmlns:a16="http://schemas.microsoft.com/office/drawing/2014/main" id="{00000000-0008-0000-1000-00001A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0" name="_x0000_t202" hidden="1">
          <a:extLst>
            <a:ext uri="{FF2B5EF4-FFF2-40B4-BE49-F238E27FC236}">
              <a16:creationId xmlns:a16="http://schemas.microsoft.com/office/drawing/2014/main" id="{00000000-0008-0000-1000-000018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8" name="_x0000_t202" hidden="1">
          <a:extLst>
            <a:ext uri="{FF2B5EF4-FFF2-40B4-BE49-F238E27FC236}">
              <a16:creationId xmlns:a16="http://schemas.microsoft.com/office/drawing/2014/main" id="{00000000-0008-0000-1000-000016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6" name="_x0000_t202" hidden="1">
          <a:extLst>
            <a:ext uri="{FF2B5EF4-FFF2-40B4-BE49-F238E27FC236}">
              <a16:creationId xmlns:a16="http://schemas.microsoft.com/office/drawing/2014/main" id="{00000000-0008-0000-1000-000014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4" name="_x0000_t202" hidden="1">
          <a:extLst>
            <a:ext uri="{FF2B5EF4-FFF2-40B4-BE49-F238E27FC236}">
              <a16:creationId xmlns:a16="http://schemas.microsoft.com/office/drawing/2014/main" id="{00000000-0008-0000-1000-000012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2" name="_x0000_t202" hidden="1">
          <a:extLst>
            <a:ext uri="{FF2B5EF4-FFF2-40B4-BE49-F238E27FC236}">
              <a16:creationId xmlns:a16="http://schemas.microsoft.com/office/drawing/2014/main" id="{00000000-0008-0000-1000-000010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0" name="_x0000_t202" hidden="1">
          <a:extLst>
            <a:ext uri="{FF2B5EF4-FFF2-40B4-BE49-F238E27FC236}">
              <a16:creationId xmlns:a16="http://schemas.microsoft.com/office/drawing/2014/main" id="{00000000-0008-0000-1000-00000E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8" name="_x0000_t202" hidden="1">
          <a:extLst>
            <a:ext uri="{FF2B5EF4-FFF2-40B4-BE49-F238E27FC236}">
              <a16:creationId xmlns:a16="http://schemas.microsoft.com/office/drawing/2014/main" id="{00000000-0008-0000-1000-00000C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6" name="_x0000_t202" hidden="1">
          <a:extLst>
            <a:ext uri="{FF2B5EF4-FFF2-40B4-BE49-F238E27FC236}">
              <a16:creationId xmlns:a16="http://schemas.microsoft.com/office/drawing/2014/main" id="{00000000-0008-0000-1000-00000A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4" name="_x0000_t202" hidden="1">
          <a:extLst>
            <a:ext uri="{FF2B5EF4-FFF2-40B4-BE49-F238E27FC236}">
              <a16:creationId xmlns:a16="http://schemas.microsoft.com/office/drawing/2014/main" id="{00000000-0008-0000-1000-000008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2" name="_x0000_t202" hidden="1">
          <a:extLst>
            <a:ext uri="{FF2B5EF4-FFF2-40B4-BE49-F238E27FC236}">
              <a16:creationId xmlns:a16="http://schemas.microsoft.com/office/drawing/2014/main" id="{00000000-0008-0000-1000-000006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0" name="_x0000_t202" hidden="1">
          <a:extLst>
            <a:ext uri="{FF2B5EF4-FFF2-40B4-BE49-F238E27FC236}">
              <a16:creationId xmlns:a16="http://schemas.microsoft.com/office/drawing/2014/main" id="{00000000-0008-0000-1000-000004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38" name="_x0000_t202" hidden="1">
          <a:extLst>
            <a:ext uri="{FF2B5EF4-FFF2-40B4-BE49-F238E27FC236}">
              <a16:creationId xmlns:a16="http://schemas.microsoft.com/office/drawing/2014/main" id="{00000000-0008-0000-1000-0000023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 name="AutoShape 26">
          <a:extLst>
            <a:ext uri="{FF2B5EF4-FFF2-40B4-BE49-F238E27FC236}">
              <a16:creationId xmlns:a16="http://schemas.microsoft.com/office/drawing/2014/main" id="{00000000-0008-0000-10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 name="AutoShape 24">
          <a:extLst>
            <a:ext uri="{FF2B5EF4-FFF2-40B4-BE49-F238E27FC236}">
              <a16:creationId xmlns:a16="http://schemas.microsoft.com/office/drawing/2014/main" id="{00000000-0008-0000-10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4" name="AutoShape 22">
          <a:extLst>
            <a:ext uri="{FF2B5EF4-FFF2-40B4-BE49-F238E27FC236}">
              <a16:creationId xmlns:a16="http://schemas.microsoft.com/office/drawing/2014/main" id="{00000000-0008-0000-10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 name="AutoShape 20">
          <a:extLst>
            <a:ext uri="{FF2B5EF4-FFF2-40B4-BE49-F238E27FC236}">
              <a16:creationId xmlns:a16="http://schemas.microsoft.com/office/drawing/2014/main" id="{00000000-0008-0000-10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6" name="AutoShape 18">
          <a:extLst>
            <a:ext uri="{FF2B5EF4-FFF2-40B4-BE49-F238E27FC236}">
              <a16:creationId xmlns:a16="http://schemas.microsoft.com/office/drawing/2014/main" id="{00000000-0008-0000-1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7" name="AutoShape 16">
          <a:extLst>
            <a:ext uri="{FF2B5EF4-FFF2-40B4-BE49-F238E27FC236}">
              <a16:creationId xmlns:a16="http://schemas.microsoft.com/office/drawing/2014/main" id="{00000000-0008-0000-1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8" name="AutoShape 14">
          <a:extLst>
            <a:ext uri="{FF2B5EF4-FFF2-40B4-BE49-F238E27FC236}">
              <a16:creationId xmlns:a16="http://schemas.microsoft.com/office/drawing/2014/main" id="{00000000-0008-0000-1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9" name="AutoShape 12">
          <a:extLst>
            <a:ext uri="{FF2B5EF4-FFF2-40B4-BE49-F238E27FC236}">
              <a16:creationId xmlns:a16="http://schemas.microsoft.com/office/drawing/2014/main" id="{00000000-0008-0000-10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0" name="AutoShape 10">
          <a:extLst>
            <a:ext uri="{FF2B5EF4-FFF2-40B4-BE49-F238E27FC236}">
              <a16:creationId xmlns:a16="http://schemas.microsoft.com/office/drawing/2014/main" id="{00000000-0008-0000-10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1" name="AutoShape 8">
          <a:extLst>
            <a:ext uri="{FF2B5EF4-FFF2-40B4-BE49-F238E27FC236}">
              <a16:creationId xmlns:a16="http://schemas.microsoft.com/office/drawing/2014/main" id="{00000000-0008-0000-10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2" name="AutoShape 6">
          <a:extLst>
            <a:ext uri="{FF2B5EF4-FFF2-40B4-BE49-F238E27FC236}">
              <a16:creationId xmlns:a16="http://schemas.microsoft.com/office/drawing/2014/main" id="{00000000-0008-0000-10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3" name="AutoShape 4">
          <a:extLst>
            <a:ext uri="{FF2B5EF4-FFF2-40B4-BE49-F238E27FC236}">
              <a16:creationId xmlns:a16="http://schemas.microsoft.com/office/drawing/2014/main" id="{00000000-0008-0000-10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 name="AutoShape 2">
          <a:extLst>
            <a:ext uri="{FF2B5EF4-FFF2-40B4-BE49-F238E27FC236}">
              <a16:creationId xmlns:a16="http://schemas.microsoft.com/office/drawing/2014/main" id="{00000000-0008-0000-10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5" name="AutoShape 26">
          <a:extLst>
            <a:ext uri="{FF2B5EF4-FFF2-40B4-BE49-F238E27FC236}">
              <a16:creationId xmlns:a16="http://schemas.microsoft.com/office/drawing/2014/main" id="{00000000-0008-0000-10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6" name="AutoShape 24">
          <a:extLst>
            <a:ext uri="{FF2B5EF4-FFF2-40B4-BE49-F238E27FC236}">
              <a16:creationId xmlns:a16="http://schemas.microsoft.com/office/drawing/2014/main" id="{00000000-0008-0000-10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7" name="AutoShape 22">
          <a:extLst>
            <a:ext uri="{FF2B5EF4-FFF2-40B4-BE49-F238E27FC236}">
              <a16:creationId xmlns:a16="http://schemas.microsoft.com/office/drawing/2014/main" id="{00000000-0008-0000-10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8" name="AutoShape 20">
          <a:extLst>
            <a:ext uri="{FF2B5EF4-FFF2-40B4-BE49-F238E27FC236}">
              <a16:creationId xmlns:a16="http://schemas.microsoft.com/office/drawing/2014/main" id="{00000000-0008-0000-10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9" name="AutoShape 18">
          <a:extLst>
            <a:ext uri="{FF2B5EF4-FFF2-40B4-BE49-F238E27FC236}">
              <a16:creationId xmlns:a16="http://schemas.microsoft.com/office/drawing/2014/main" id="{00000000-0008-0000-10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0" name="AutoShape 16">
          <a:extLst>
            <a:ext uri="{FF2B5EF4-FFF2-40B4-BE49-F238E27FC236}">
              <a16:creationId xmlns:a16="http://schemas.microsoft.com/office/drawing/2014/main" id="{00000000-0008-0000-10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1" name="AutoShape 14">
          <a:extLst>
            <a:ext uri="{FF2B5EF4-FFF2-40B4-BE49-F238E27FC236}">
              <a16:creationId xmlns:a16="http://schemas.microsoft.com/office/drawing/2014/main" id="{00000000-0008-0000-1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2" name="AutoShape 12">
          <a:extLst>
            <a:ext uri="{FF2B5EF4-FFF2-40B4-BE49-F238E27FC236}">
              <a16:creationId xmlns:a16="http://schemas.microsoft.com/office/drawing/2014/main" id="{00000000-0008-0000-1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3" name="AutoShape 10">
          <a:extLst>
            <a:ext uri="{FF2B5EF4-FFF2-40B4-BE49-F238E27FC236}">
              <a16:creationId xmlns:a16="http://schemas.microsoft.com/office/drawing/2014/main" id="{00000000-0008-0000-1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4" name="AutoShape 8">
          <a:extLst>
            <a:ext uri="{FF2B5EF4-FFF2-40B4-BE49-F238E27FC236}">
              <a16:creationId xmlns:a16="http://schemas.microsoft.com/office/drawing/2014/main" id="{00000000-0008-0000-10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5" name="AutoShape 6">
          <a:extLst>
            <a:ext uri="{FF2B5EF4-FFF2-40B4-BE49-F238E27FC236}">
              <a16:creationId xmlns:a16="http://schemas.microsoft.com/office/drawing/2014/main" id="{00000000-0008-0000-10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6" name="AutoShape 4">
          <a:extLst>
            <a:ext uri="{FF2B5EF4-FFF2-40B4-BE49-F238E27FC236}">
              <a16:creationId xmlns:a16="http://schemas.microsoft.com/office/drawing/2014/main" id="{00000000-0008-0000-10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7" name="AutoShape 2">
          <a:extLst>
            <a:ext uri="{FF2B5EF4-FFF2-40B4-BE49-F238E27FC236}">
              <a16:creationId xmlns:a16="http://schemas.microsoft.com/office/drawing/2014/main" id="{00000000-0008-0000-10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8" name="AutoShape 26">
          <a:extLst>
            <a:ext uri="{FF2B5EF4-FFF2-40B4-BE49-F238E27FC236}">
              <a16:creationId xmlns:a16="http://schemas.microsoft.com/office/drawing/2014/main" id="{00000000-0008-0000-10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29" name="AutoShape 24">
          <a:extLst>
            <a:ext uri="{FF2B5EF4-FFF2-40B4-BE49-F238E27FC236}">
              <a16:creationId xmlns:a16="http://schemas.microsoft.com/office/drawing/2014/main" id="{00000000-0008-0000-10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0" name="AutoShape 22">
          <a:extLst>
            <a:ext uri="{FF2B5EF4-FFF2-40B4-BE49-F238E27FC236}">
              <a16:creationId xmlns:a16="http://schemas.microsoft.com/office/drawing/2014/main" id="{00000000-0008-0000-10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1" name="AutoShape 20">
          <a:extLst>
            <a:ext uri="{FF2B5EF4-FFF2-40B4-BE49-F238E27FC236}">
              <a16:creationId xmlns:a16="http://schemas.microsoft.com/office/drawing/2014/main" id="{00000000-0008-0000-10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2" name="AutoShape 18">
          <a:extLst>
            <a:ext uri="{FF2B5EF4-FFF2-40B4-BE49-F238E27FC236}">
              <a16:creationId xmlns:a16="http://schemas.microsoft.com/office/drawing/2014/main" id="{00000000-0008-0000-10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3" name="AutoShape 16">
          <a:extLst>
            <a:ext uri="{FF2B5EF4-FFF2-40B4-BE49-F238E27FC236}">
              <a16:creationId xmlns:a16="http://schemas.microsoft.com/office/drawing/2014/main" id="{00000000-0008-0000-10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4" name="AutoShape 14">
          <a:extLst>
            <a:ext uri="{FF2B5EF4-FFF2-40B4-BE49-F238E27FC236}">
              <a16:creationId xmlns:a16="http://schemas.microsoft.com/office/drawing/2014/main" id="{00000000-0008-0000-10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5" name="AutoShape 12">
          <a:extLst>
            <a:ext uri="{FF2B5EF4-FFF2-40B4-BE49-F238E27FC236}">
              <a16:creationId xmlns:a16="http://schemas.microsoft.com/office/drawing/2014/main" id="{00000000-0008-0000-10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6" name="AutoShape 10">
          <a:extLst>
            <a:ext uri="{FF2B5EF4-FFF2-40B4-BE49-F238E27FC236}">
              <a16:creationId xmlns:a16="http://schemas.microsoft.com/office/drawing/2014/main" id="{00000000-0008-0000-10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7" name="AutoShape 8">
          <a:extLst>
            <a:ext uri="{FF2B5EF4-FFF2-40B4-BE49-F238E27FC236}">
              <a16:creationId xmlns:a16="http://schemas.microsoft.com/office/drawing/2014/main" id="{00000000-0008-0000-10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8" name="AutoShape 6">
          <a:extLst>
            <a:ext uri="{FF2B5EF4-FFF2-40B4-BE49-F238E27FC236}">
              <a16:creationId xmlns:a16="http://schemas.microsoft.com/office/drawing/2014/main" id="{00000000-0008-0000-10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39" name="AutoShape 4">
          <a:extLst>
            <a:ext uri="{FF2B5EF4-FFF2-40B4-BE49-F238E27FC236}">
              <a16:creationId xmlns:a16="http://schemas.microsoft.com/office/drawing/2014/main" id="{00000000-0008-0000-10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40" name="AutoShape 2">
          <a:extLst>
            <a:ext uri="{FF2B5EF4-FFF2-40B4-BE49-F238E27FC236}">
              <a16:creationId xmlns:a16="http://schemas.microsoft.com/office/drawing/2014/main" id="{00000000-0008-0000-10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41" name="AutoShape 26">
          <a:extLst>
            <a:ext uri="{FF2B5EF4-FFF2-40B4-BE49-F238E27FC236}">
              <a16:creationId xmlns:a16="http://schemas.microsoft.com/office/drawing/2014/main" id="{00000000-0008-0000-1000-00002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42" name="AutoShape 24">
          <a:extLst>
            <a:ext uri="{FF2B5EF4-FFF2-40B4-BE49-F238E27FC236}">
              <a16:creationId xmlns:a16="http://schemas.microsoft.com/office/drawing/2014/main" id="{00000000-0008-0000-10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43" name="AutoShape 22">
          <a:extLst>
            <a:ext uri="{FF2B5EF4-FFF2-40B4-BE49-F238E27FC236}">
              <a16:creationId xmlns:a16="http://schemas.microsoft.com/office/drawing/2014/main" id="{00000000-0008-0000-10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3" name="AutoShape 20">
          <a:extLst>
            <a:ext uri="{FF2B5EF4-FFF2-40B4-BE49-F238E27FC236}">
              <a16:creationId xmlns:a16="http://schemas.microsoft.com/office/drawing/2014/main" id="{00000000-0008-0000-1000-00003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4" name="AutoShape 18">
          <a:extLst>
            <a:ext uri="{FF2B5EF4-FFF2-40B4-BE49-F238E27FC236}">
              <a16:creationId xmlns:a16="http://schemas.microsoft.com/office/drawing/2014/main" id="{00000000-0008-0000-1000-00003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5" name="AutoShape 16">
          <a:extLst>
            <a:ext uri="{FF2B5EF4-FFF2-40B4-BE49-F238E27FC236}">
              <a16:creationId xmlns:a16="http://schemas.microsoft.com/office/drawing/2014/main" id="{00000000-0008-0000-1000-00003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6" name="AutoShape 14">
          <a:extLst>
            <a:ext uri="{FF2B5EF4-FFF2-40B4-BE49-F238E27FC236}">
              <a16:creationId xmlns:a16="http://schemas.microsoft.com/office/drawing/2014/main" id="{00000000-0008-0000-1000-00003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7" name="AutoShape 12">
          <a:extLst>
            <a:ext uri="{FF2B5EF4-FFF2-40B4-BE49-F238E27FC236}">
              <a16:creationId xmlns:a16="http://schemas.microsoft.com/office/drawing/2014/main" id="{00000000-0008-0000-1000-00003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8" name="AutoShape 10">
          <a:extLst>
            <a:ext uri="{FF2B5EF4-FFF2-40B4-BE49-F238E27FC236}">
              <a16:creationId xmlns:a16="http://schemas.microsoft.com/office/drawing/2014/main" id="{00000000-0008-0000-1000-00003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59" name="AutoShape 8">
          <a:extLst>
            <a:ext uri="{FF2B5EF4-FFF2-40B4-BE49-F238E27FC236}">
              <a16:creationId xmlns:a16="http://schemas.microsoft.com/office/drawing/2014/main" id="{00000000-0008-0000-1000-00003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60" name="AutoShape 6">
          <a:extLst>
            <a:ext uri="{FF2B5EF4-FFF2-40B4-BE49-F238E27FC236}">
              <a16:creationId xmlns:a16="http://schemas.microsoft.com/office/drawing/2014/main" id="{00000000-0008-0000-1000-00003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61" name="AutoShape 4">
          <a:extLst>
            <a:ext uri="{FF2B5EF4-FFF2-40B4-BE49-F238E27FC236}">
              <a16:creationId xmlns:a16="http://schemas.microsoft.com/office/drawing/2014/main" id="{00000000-0008-0000-1000-00003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62" name="AutoShape 2">
          <a:extLst>
            <a:ext uri="{FF2B5EF4-FFF2-40B4-BE49-F238E27FC236}">
              <a16:creationId xmlns:a16="http://schemas.microsoft.com/office/drawing/2014/main" id="{00000000-0008-0000-1000-00003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63" name="AutoShape 26">
          <a:extLst>
            <a:ext uri="{FF2B5EF4-FFF2-40B4-BE49-F238E27FC236}">
              <a16:creationId xmlns:a16="http://schemas.microsoft.com/office/drawing/2014/main" id="{00000000-0008-0000-1000-00003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36" name="AutoShape 24">
          <a:extLst>
            <a:ext uri="{FF2B5EF4-FFF2-40B4-BE49-F238E27FC236}">
              <a16:creationId xmlns:a16="http://schemas.microsoft.com/office/drawing/2014/main" id="{00000000-0008-0000-1000-000000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37" name="AutoShape 22">
          <a:extLst>
            <a:ext uri="{FF2B5EF4-FFF2-40B4-BE49-F238E27FC236}">
              <a16:creationId xmlns:a16="http://schemas.microsoft.com/office/drawing/2014/main" id="{00000000-0008-0000-1000-000001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39" name="AutoShape 20">
          <a:extLst>
            <a:ext uri="{FF2B5EF4-FFF2-40B4-BE49-F238E27FC236}">
              <a16:creationId xmlns:a16="http://schemas.microsoft.com/office/drawing/2014/main" id="{00000000-0008-0000-1000-000003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1" name="AutoShape 18">
          <a:extLst>
            <a:ext uri="{FF2B5EF4-FFF2-40B4-BE49-F238E27FC236}">
              <a16:creationId xmlns:a16="http://schemas.microsoft.com/office/drawing/2014/main" id="{00000000-0008-0000-1000-000005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3" name="AutoShape 16">
          <a:extLst>
            <a:ext uri="{FF2B5EF4-FFF2-40B4-BE49-F238E27FC236}">
              <a16:creationId xmlns:a16="http://schemas.microsoft.com/office/drawing/2014/main" id="{00000000-0008-0000-1000-000007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5" name="AutoShape 14">
          <a:extLst>
            <a:ext uri="{FF2B5EF4-FFF2-40B4-BE49-F238E27FC236}">
              <a16:creationId xmlns:a16="http://schemas.microsoft.com/office/drawing/2014/main" id="{00000000-0008-0000-1000-000009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7" name="AutoShape 12">
          <a:extLst>
            <a:ext uri="{FF2B5EF4-FFF2-40B4-BE49-F238E27FC236}">
              <a16:creationId xmlns:a16="http://schemas.microsoft.com/office/drawing/2014/main" id="{00000000-0008-0000-1000-00000B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49" name="AutoShape 10">
          <a:extLst>
            <a:ext uri="{FF2B5EF4-FFF2-40B4-BE49-F238E27FC236}">
              <a16:creationId xmlns:a16="http://schemas.microsoft.com/office/drawing/2014/main" id="{00000000-0008-0000-1000-00000D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1" name="AutoShape 8">
          <a:extLst>
            <a:ext uri="{FF2B5EF4-FFF2-40B4-BE49-F238E27FC236}">
              <a16:creationId xmlns:a16="http://schemas.microsoft.com/office/drawing/2014/main" id="{00000000-0008-0000-1000-00000F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3" name="AutoShape 6">
          <a:extLst>
            <a:ext uri="{FF2B5EF4-FFF2-40B4-BE49-F238E27FC236}">
              <a16:creationId xmlns:a16="http://schemas.microsoft.com/office/drawing/2014/main" id="{00000000-0008-0000-1000-000011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5" name="AutoShape 4">
          <a:extLst>
            <a:ext uri="{FF2B5EF4-FFF2-40B4-BE49-F238E27FC236}">
              <a16:creationId xmlns:a16="http://schemas.microsoft.com/office/drawing/2014/main" id="{00000000-0008-0000-1000-000013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7" name="AutoShape 2">
          <a:extLst>
            <a:ext uri="{FF2B5EF4-FFF2-40B4-BE49-F238E27FC236}">
              <a16:creationId xmlns:a16="http://schemas.microsoft.com/office/drawing/2014/main" id="{00000000-0008-0000-1000-0000153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59" name="AutoShape 26">
          <a:extLst>
            <a:ext uri="{FF2B5EF4-FFF2-40B4-BE49-F238E27FC236}">
              <a16:creationId xmlns:a16="http://schemas.microsoft.com/office/drawing/2014/main" id="{00000000-0008-0000-1000-000017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1" name="AutoShape 24">
          <a:extLst>
            <a:ext uri="{FF2B5EF4-FFF2-40B4-BE49-F238E27FC236}">
              <a16:creationId xmlns:a16="http://schemas.microsoft.com/office/drawing/2014/main" id="{00000000-0008-0000-1000-000019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3" name="AutoShape 22">
          <a:extLst>
            <a:ext uri="{FF2B5EF4-FFF2-40B4-BE49-F238E27FC236}">
              <a16:creationId xmlns:a16="http://schemas.microsoft.com/office/drawing/2014/main" id="{00000000-0008-0000-1000-00001B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4" name="AutoShape 20">
          <a:extLst>
            <a:ext uri="{FF2B5EF4-FFF2-40B4-BE49-F238E27FC236}">
              <a16:creationId xmlns:a16="http://schemas.microsoft.com/office/drawing/2014/main" id="{00000000-0008-0000-1000-00001C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5" name="AutoShape 18">
          <a:extLst>
            <a:ext uri="{FF2B5EF4-FFF2-40B4-BE49-F238E27FC236}">
              <a16:creationId xmlns:a16="http://schemas.microsoft.com/office/drawing/2014/main" id="{00000000-0008-0000-1000-00001D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6" name="AutoShape 16">
          <a:extLst>
            <a:ext uri="{FF2B5EF4-FFF2-40B4-BE49-F238E27FC236}">
              <a16:creationId xmlns:a16="http://schemas.microsoft.com/office/drawing/2014/main" id="{00000000-0008-0000-1000-00001E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7" name="AutoShape 14">
          <a:extLst>
            <a:ext uri="{FF2B5EF4-FFF2-40B4-BE49-F238E27FC236}">
              <a16:creationId xmlns:a16="http://schemas.microsoft.com/office/drawing/2014/main" id="{00000000-0008-0000-1000-00001F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8" name="AutoShape 12">
          <a:extLst>
            <a:ext uri="{FF2B5EF4-FFF2-40B4-BE49-F238E27FC236}">
              <a16:creationId xmlns:a16="http://schemas.microsoft.com/office/drawing/2014/main" id="{00000000-0008-0000-1000-000020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69" name="AutoShape 10">
          <a:extLst>
            <a:ext uri="{FF2B5EF4-FFF2-40B4-BE49-F238E27FC236}">
              <a16:creationId xmlns:a16="http://schemas.microsoft.com/office/drawing/2014/main" id="{00000000-0008-0000-1000-000021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0" name="AutoShape 8">
          <a:extLst>
            <a:ext uri="{FF2B5EF4-FFF2-40B4-BE49-F238E27FC236}">
              <a16:creationId xmlns:a16="http://schemas.microsoft.com/office/drawing/2014/main" id="{00000000-0008-0000-1000-000022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1" name="AutoShape 6">
          <a:extLst>
            <a:ext uri="{FF2B5EF4-FFF2-40B4-BE49-F238E27FC236}">
              <a16:creationId xmlns:a16="http://schemas.microsoft.com/office/drawing/2014/main" id="{00000000-0008-0000-1000-000023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2" name="AutoShape 4">
          <a:extLst>
            <a:ext uri="{FF2B5EF4-FFF2-40B4-BE49-F238E27FC236}">
              <a16:creationId xmlns:a16="http://schemas.microsoft.com/office/drawing/2014/main" id="{00000000-0008-0000-1000-000024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3" name="AutoShape 2">
          <a:extLst>
            <a:ext uri="{FF2B5EF4-FFF2-40B4-BE49-F238E27FC236}">
              <a16:creationId xmlns:a16="http://schemas.microsoft.com/office/drawing/2014/main" id="{00000000-0008-0000-1000-000025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4" name="AutoShape 26">
          <a:extLst>
            <a:ext uri="{FF2B5EF4-FFF2-40B4-BE49-F238E27FC236}">
              <a16:creationId xmlns:a16="http://schemas.microsoft.com/office/drawing/2014/main" id="{00000000-0008-0000-1000-000026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5" name="AutoShape 24">
          <a:extLst>
            <a:ext uri="{FF2B5EF4-FFF2-40B4-BE49-F238E27FC236}">
              <a16:creationId xmlns:a16="http://schemas.microsoft.com/office/drawing/2014/main" id="{00000000-0008-0000-1000-000027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6" name="AutoShape 22">
          <a:extLst>
            <a:ext uri="{FF2B5EF4-FFF2-40B4-BE49-F238E27FC236}">
              <a16:creationId xmlns:a16="http://schemas.microsoft.com/office/drawing/2014/main" id="{00000000-0008-0000-1000-000028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7" name="AutoShape 20">
          <a:extLst>
            <a:ext uri="{FF2B5EF4-FFF2-40B4-BE49-F238E27FC236}">
              <a16:creationId xmlns:a16="http://schemas.microsoft.com/office/drawing/2014/main" id="{00000000-0008-0000-1000-000029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8" name="AutoShape 18">
          <a:extLst>
            <a:ext uri="{FF2B5EF4-FFF2-40B4-BE49-F238E27FC236}">
              <a16:creationId xmlns:a16="http://schemas.microsoft.com/office/drawing/2014/main" id="{00000000-0008-0000-1000-00002A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79" name="AutoShape 16">
          <a:extLst>
            <a:ext uri="{FF2B5EF4-FFF2-40B4-BE49-F238E27FC236}">
              <a16:creationId xmlns:a16="http://schemas.microsoft.com/office/drawing/2014/main" id="{00000000-0008-0000-1000-00002B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0" name="AutoShape 14">
          <a:extLst>
            <a:ext uri="{FF2B5EF4-FFF2-40B4-BE49-F238E27FC236}">
              <a16:creationId xmlns:a16="http://schemas.microsoft.com/office/drawing/2014/main" id="{00000000-0008-0000-1000-00002C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1" name="AutoShape 12">
          <a:extLst>
            <a:ext uri="{FF2B5EF4-FFF2-40B4-BE49-F238E27FC236}">
              <a16:creationId xmlns:a16="http://schemas.microsoft.com/office/drawing/2014/main" id="{00000000-0008-0000-1000-00002D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2" name="AutoShape 10">
          <a:extLst>
            <a:ext uri="{FF2B5EF4-FFF2-40B4-BE49-F238E27FC236}">
              <a16:creationId xmlns:a16="http://schemas.microsoft.com/office/drawing/2014/main" id="{00000000-0008-0000-1000-00002E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3" name="AutoShape 8">
          <a:extLst>
            <a:ext uri="{FF2B5EF4-FFF2-40B4-BE49-F238E27FC236}">
              <a16:creationId xmlns:a16="http://schemas.microsoft.com/office/drawing/2014/main" id="{00000000-0008-0000-1000-00002F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4" name="AutoShape 6">
          <a:extLst>
            <a:ext uri="{FF2B5EF4-FFF2-40B4-BE49-F238E27FC236}">
              <a16:creationId xmlns:a16="http://schemas.microsoft.com/office/drawing/2014/main" id="{00000000-0008-0000-1000-000030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5" name="AutoShape 4">
          <a:extLst>
            <a:ext uri="{FF2B5EF4-FFF2-40B4-BE49-F238E27FC236}">
              <a16:creationId xmlns:a16="http://schemas.microsoft.com/office/drawing/2014/main" id="{00000000-0008-0000-1000-000031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6" name="AutoShape 2">
          <a:extLst>
            <a:ext uri="{FF2B5EF4-FFF2-40B4-BE49-F238E27FC236}">
              <a16:creationId xmlns:a16="http://schemas.microsoft.com/office/drawing/2014/main" id="{00000000-0008-0000-1000-000032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7" name="AutoShape 26">
          <a:extLst>
            <a:ext uri="{FF2B5EF4-FFF2-40B4-BE49-F238E27FC236}">
              <a16:creationId xmlns:a16="http://schemas.microsoft.com/office/drawing/2014/main" id="{00000000-0008-0000-1000-000033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8" name="AutoShape 24">
          <a:extLst>
            <a:ext uri="{FF2B5EF4-FFF2-40B4-BE49-F238E27FC236}">
              <a16:creationId xmlns:a16="http://schemas.microsoft.com/office/drawing/2014/main" id="{00000000-0008-0000-1000-000034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89" name="AutoShape 22">
          <a:extLst>
            <a:ext uri="{FF2B5EF4-FFF2-40B4-BE49-F238E27FC236}">
              <a16:creationId xmlns:a16="http://schemas.microsoft.com/office/drawing/2014/main" id="{00000000-0008-0000-1000-000035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0" name="AutoShape 20">
          <a:extLst>
            <a:ext uri="{FF2B5EF4-FFF2-40B4-BE49-F238E27FC236}">
              <a16:creationId xmlns:a16="http://schemas.microsoft.com/office/drawing/2014/main" id="{00000000-0008-0000-1000-000036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1" name="AutoShape 18">
          <a:extLst>
            <a:ext uri="{FF2B5EF4-FFF2-40B4-BE49-F238E27FC236}">
              <a16:creationId xmlns:a16="http://schemas.microsoft.com/office/drawing/2014/main" id="{00000000-0008-0000-1000-000037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2" name="AutoShape 16">
          <a:extLst>
            <a:ext uri="{FF2B5EF4-FFF2-40B4-BE49-F238E27FC236}">
              <a16:creationId xmlns:a16="http://schemas.microsoft.com/office/drawing/2014/main" id="{00000000-0008-0000-1000-000038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3" name="AutoShape 14">
          <a:extLst>
            <a:ext uri="{FF2B5EF4-FFF2-40B4-BE49-F238E27FC236}">
              <a16:creationId xmlns:a16="http://schemas.microsoft.com/office/drawing/2014/main" id="{00000000-0008-0000-1000-000039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4" name="AutoShape 12">
          <a:extLst>
            <a:ext uri="{FF2B5EF4-FFF2-40B4-BE49-F238E27FC236}">
              <a16:creationId xmlns:a16="http://schemas.microsoft.com/office/drawing/2014/main" id="{00000000-0008-0000-1000-00003A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5" name="AutoShape 10">
          <a:extLst>
            <a:ext uri="{FF2B5EF4-FFF2-40B4-BE49-F238E27FC236}">
              <a16:creationId xmlns:a16="http://schemas.microsoft.com/office/drawing/2014/main" id="{00000000-0008-0000-1000-00003B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6" name="AutoShape 8">
          <a:extLst>
            <a:ext uri="{FF2B5EF4-FFF2-40B4-BE49-F238E27FC236}">
              <a16:creationId xmlns:a16="http://schemas.microsoft.com/office/drawing/2014/main" id="{00000000-0008-0000-1000-00003C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7" name="AutoShape 6">
          <a:extLst>
            <a:ext uri="{FF2B5EF4-FFF2-40B4-BE49-F238E27FC236}">
              <a16:creationId xmlns:a16="http://schemas.microsoft.com/office/drawing/2014/main" id="{00000000-0008-0000-1000-00003D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8" name="AutoShape 4">
          <a:extLst>
            <a:ext uri="{FF2B5EF4-FFF2-40B4-BE49-F238E27FC236}">
              <a16:creationId xmlns:a16="http://schemas.microsoft.com/office/drawing/2014/main" id="{00000000-0008-0000-1000-00003E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399" name="AutoShape 2">
          <a:extLst>
            <a:ext uri="{FF2B5EF4-FFF2-40B4-BE49-F238E27FC236}">
              <a16:creationId xmlns:a16="http://schemas.microsoft.com/office/drawing/2014/main" id="{00000000-0008-0000-1000-00003F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0" name="AutoShape 26">
          <a:extLst>
            <a:ext uri="{FF2B5EF4-FFF2-40B4-BE49-F238E27FC236}">
              <a16:creationId xmlns:a16="http://schemas.microsoft.com/office/drawing/2014/main" id="{00000000-0008-0000-1000-000040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1" name="AutoShape 24">
          <a:extLst>
            <a:ext uri="{FF2B5EF4-FFF2-40B4-BE49-F238E27FC236}">
              <a16:creationId xmlns:a16="http://schemas.microsoft.com/office/drawing/2014/main" id="{00000000-0008-0000-1000-000041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2" name="AutoShape 22">
          <a:extLst>
            <a:ext uri="{FF2B5EF4-FFF2-40B4-BE49-F238E27FC236}">
              <a16:creationId xmlns:a16="http://schemas.microsoft.com/office/drawing/2014/main" id="{00000000-0008-0000-1000-000042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3" name="AutoShape 20">
          <a:extLst>
            <a:ext uri="{FF2B5EF4-FFF2-40B4-BE49-F238E27FC236}">
              <a16:creationId xmlns:a16="http://schemas.microsoft.com/office/drawing/2014/main" id="{00000000-0008-0000-1000-000043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4" name="AutoShape 18">
          <a:extLst>
            <a:ext uri="{FF2B5EF4-FFF2-40B4-BE49-F238E27FC236}">
              <a16:creationId xmlns:a16="http://schemas.microsoft.com/office/drawing/2014/main" id="{00000000-0008-0000-1000-000044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5" name="AutoShape 16">
          <a:extLst>
            <a:ext uri="{FF2B5EF4-FFF2-40B4-BE49-F238E27FC236}">
              <a16:creationId xmlns:a16="http://schemas.microsoft.com/office/drawing/2014/main" id="{00000000-0008-0000-1000-000045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6" name="AutoShape 14">
          <a:extLst>
            <a:ext uri="{FF2B5EF4-FFF2-40B4-BE49-F238E27FC236}">
              <a16:creationId xmlns:a16="http://schemas.microsoft.com/office/drawing/2014/main" id="{00000000-0008-0000-1000-000046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7" name="AutoShape 12">
          <a:extLst>
            <a:ext uri="{FF2B5EF4-FFF2-40B4-BE49-F238E27FC236}">
              <a16:creationId xmlns:a16="http://schemas.microsoft.com/office/drawing/2014/main" id="{00000000-0008-0000-1000-000047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8" name="AutoShape 10">
          <a:extLst>
            <a:ext uri="{FF2B5EF4-FFF2-40B4-BE49-F238E27FC236}">
              <a16:creationId xmlns:a16="http://schemas.microsoft.com/office/drawing/2014/main" id="{00000000-0008-0000-1000-000048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09" name="AutoShape 8">
          <a:extLst>
            <a:ext uri="{FF2B5EF4-FFF2-40B4-BE49-F238E27FC236}">
              <a16:creationId xmlns:a16="http://schemas.microsoft.com/office/drawing/2014/main" id="{00000000-0008-0000-1000-000049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0" name="AutoShape 6">
          <a:extLst>
            <a:ext uri="{FF2B5EF4-FFF2-40B4-BE49-F238E27FC236}">
              <a16:creationId xmlns:a16="http://schemas.microsoft.com/office/drawing/2014/main" id="{00000000-0008-0000-1000-00004A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1" name="AutoShape 4">
          <a:extLst>
            <a:ext uri="{FF2B5EF4-FFF2-40B4-BE49-F238E27FC236}">
              <a16:creationId xmlns:a16="http://schemas.microsoft.com/office/drawing/2014/main" id="{00000000-0008-0000-1000-00004B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2" name="AutoShape 2">
          <a:extLst>
            <a:ext uri="{FF2B5EF4-FFF2-40B4-BE49-F238E27FC236}">
              <a16:creationId xmlns:a16="http://schemas.microsoft.com/office/drawing/2014/main" id="{00000000-0008-0000-1000-00004C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3" name="AutoShape 26">
          <a:extLst>
            <a:ext uri="{FF2B5EF4-FFF2-40B4-BE49-F238E27FC236}">
              <a16:creationId xmlns:a16="http://schemas.microsoft.com/office/drawing/2014/main" id="{00000000-0008-0000-1000-00004D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4" name="AutoShape 24">
          <a:extLst>
            <a:ext uri="{FF2B5EF4-FFF2-40B4-BE49-F238E27FC236}">
              <a16:creationId xmlns:a16="http://schemas.microsoft.com/office/drawing/2014/main" id="{00000000-0008-0000-1000-00004E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5" name="AutoShape 22">
          <a:extLst>
            <a:ext uri="{FF2B5EF4-FFF2-40B4-BE49-F238E27FC236}">
              <a16:creationId xmlns:a16="http://schemas.microsoft.com/office/drawing/2014/main" id="{00000000-0008-0000-1000-00004F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6" name="AutoShape 20">
          <a:extLst>
            <a:ext uri="{FF2B5EF4-FFF2-40B4-BE49-F238E27FC236}">
              <a16:creationId xmlns:a16="http://schemas.microsoft.com/office/drawing/2014/main" id="{00000000-0008-0000-1000-000050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7" name="AutoShape 18">
          <a:extLst>
            <a:ext uri="{FF2B5EF4-FFF2-40B4-BE49-F238E27FC236}">
              <a16:creationId xmlns:a16="http://schemas.microsoft.com/office/drawing/2014/main" id="{00000000-0008-0000-1000-000051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8" name="AutoShape 16">
          <a:extLst>
            <a:ext uri="{FF2B5EF4-FFF2-40B4-BE49-F238E27FC236}">
              <a16:creationId xmlns:a16="http://schemas.microsoft.com/office/drawing/2014/main" id="{00000000-0008-0000-1000-000052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19" name="AutoShape 14">
          <a:extLst>
            <a:ext uri="{FF2B5EF4-FFF2-40B4-BE49-F238E27FC236}">
              <a16:creationId xmlns:a16="http://schemas.microsoft.com/office/drawing/2014/main" id="{00000000-0008-0000-1000-000053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20" name="AutoShape 12">
          <a:extLst>
            <a:ext uri="{FF2B5EF4-FFF2-40B4-BE49-F238E27FC236}">
              <a16:creationId xmlns:a16="http://schemas.microsoft.com/office/drawing/2014/main" id="{00000000-0008-0000-1000-000054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21" name="AutoShape 10">
          <a:extLst>
            <a:ext uri="{FF2B5EF4-FFF2-40B4-BE49-F238E27FC236}">
              <a16:creationId xmlns:a16="http://schemas.microsoft.com/office/drawing/2014/main" id="{00000000-0008-0000-1000-000055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22" name="AutoShape 8">
          <a:extLst>
            <a:ext uri="{FF2B5EF4-FFF2-40B4-BE49-F238E27FC236}">
              <a16:creationId xmlns:a16="http://schemas.microsoft.com/office/drawing/2014/main" id="{00000000-0008-0000-1000-000056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23" name="AutoShape 6">
          <a:extLst>
            <a:ext uri="{FF2B5EF4-FFF2-40B4-BE49-F238E27FC236}">
              <a16:creationId xmlns:a16="http://schemas.microsoft.com/office/drawing/2014/main" id="{00000000-0008-0000-1000-000057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24" name="AutoShape 4">
          <a:extLst>
            <a:ext uri="{FF2B5EF4-FFF2-40B4-BE49-F238E27FC236}">
              <a16:creationId xmlns:a16="http://schemas.microsoft.com/office/drawing/2014/main" id="{00000000-0008-0000-1000-000058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1743075</xdr:colOff>
      <xdr:row>55</xdr:row>
      <xdr:rowOff>19050</xdr:rowOff>
    </xdr:to>
    <xdr:sp macro="" textlink="">
      <xdr:nvSpPr>
        <xdr:cNvPr id="14425" name="AutoShape 2">
          <a:extLst>
            <a:ext uri="{FF2B5EF4-FFF2-40B4-BE49-F238E27FC236}">
              <a16:creationId xmlns:a16="http://schemas.microsoft.com/office/drawing/2014/main" id="{00000000-0008-0000-1000-000059380000}"/>
            </a:ext>
          </a:extLst>
        </xdr:cNvPr>
        <xdr:cNvSpPr>
          <a:spLocks noChangeArrowheads="1"/>
        </xdr:cNvSpPr>
      </xdr:nvSpPr>
      <xdr:spPr bwMode="auto">
        <a:xfrm>
          <a:off x="0" y="0"/>
          <a:ext cx="9591675"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423360</xdr:colOff>
      <xdr:row>54</xdr:row>
      <xdr:rowOff>137160</xdr:rowOff>
    </xdr:to>
    <xdr:sp macro="" textlink="">
      <xdr:nvSpPr>
        <xdr:cNvPr id="53" name="CustomShape 1" hidden="1">
          <a:extLst>
            <a:ext uri="{FF2B5EF4-FFF2-40B4-BE49-F238E27FC236}">
              <a16:creationId xmlns:a16="http://schemas.microsoft.com/office/drawing/2014/main" id="{00000000-0008-0000-1100-000035000000}"/>
            </a:ext>
          </a:extLst>
        </xdr:cNvPr>
        <xdr:cNvSpPr/>
      </xdr:nvSpPr>
      <xdr:spPr>
        <a:xfrm>
          <a:off x="0" y="0"/>
          <a:ext cx="11027160" cy="997632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948240</xdr:colOff>
      <xdr:row>52</xdr:row>
      <xdr:rowOff>24480</xdr:rowOff>
    </xdr:to>
    <xdr:sp macro="" textlink="">
      <xdr:nvSpPr>
        <xdr:cNvPr id="54" name="CustomShape 1" hidden="1">
          <a:extLst>
            <a:ext uri="{FF2B5EF4-FFF2-40B4-BE49-F238E27FC236}">
              <a16:creationId xmlns:a16="http://schemas.microsoft.com/office/drawing/2014/main" id="{00000000-0008-0000-1100-000036000000}"/>
            </a:ext>
          </a:extLst>
        </xdr:cNvPr>
        <xdr:cNvSpPr/>
      </xdr:nvSpPr>
      <xdr:spPr>
        <a:xfrm>
          <a:off x="0" y="0"/>
          <a:ext cx="1000944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948240</xdr:colOff>
      <xdr:row>52</xdr:row>
      <xdr:rowOff>24480</xdr:rowOff>
    </xdr:to>
    <xdr:sp macro="" textlink="">
      <xdr:nvSpPr>
        <xdr:cNvPr id="55" name="CustomShape 1" hidden="1">
          <a:extLst>
            <a:ext uri="{FF2B5EF4-FFF2-40B4-BE49-F238E27FC236}">
              <a16:creationId xmlns:a16="http://schemas.microsoft.com/office/drawing/2014/main" id="{00000000-0008-0000-1100-000037000000}"/>
            </a:ext>
          </a:extLst>
        </xdr:cNvPr>
        <xdr:cNvSpPr/>
      </xdr:nvSpPr>
      <xdr:spPr>
        <a:xfrm>
          <a:off x="0" y="0"/>
          <a:ext cx="1000944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948240</xdr:colOff>
      <xdr:row>52</xdr:row>
      <xdr:rowOff>24480</xdr:rowOff>
    </xdr:to>
    <xdr:sp macro="" textlink="">
      <xdr:nvSpPr>
        <xdr:cNvPr id="56" name="CustomShape 1" hidden="1">
          <a:extLst>
            <a:ext uri="{FF2B5EF4-FFF2-40B4-BE49-F238E27FC236}">
              <a16:creationId xmlns:a16="http://schemas.microsoft.com/office/drawing/2014/main" id="{00000000-0008-0000-1100-000038000000}"/>
            </a:ext>
          </a:extLst>
        </xdr:cNvPr>
        <xdr:cNvSpPr/>
      </xdr:nvSpPr>
      <xdr:spPr>
        <a:xfrm>
          <a:off x="0" y="0"/>
          <a:ext cx="1000944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948240</xdr:colOff>
      <xdr:row>52</xdr:row>
      <xdr:rowOff>24480</xdr:rowOff>
    </xdr:to>
    <xdr:sp macro="" textlink="">
      <xdr:nvSpPr>
        <xdr:cNvPr id="57" name="CustomShape 1" hidden="1">
          <a:extLst>
            <a:ext uri="{FF2B5EF4-FFF2-40B4-BE49-F238E27FC236}">
              <a16:creationId xmlns:a16="http://schemas.microsoft.com/office/drawing/2014/main" id="{00000000-0008-0000-1100-000039000000}"/>
            </a:ext>
          </a:extLst>
        </xdr:cNvPr>
        <xdr:cNvSpPr/>
      </xdr:nvSpPr>
      <xdr:spPr>
        <a:xfrm>
          <a:off x="0" y="0"/>
          <a:ext cx="1000944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948240</xdr:colOff>
      <xdr:row>52</xdr:row>
      <xdr:rowOff>24480</xdr:rowOff>
    </xdr:to>
    <xdr:sp macro="" textlink="">
      <xdr:nvSpPr>
        <xdr:cNvPr id="58" name="CustomShape 1" hidden="1">
          <a:extLst>
            <a:ext uri="{FF2B5EF4-FFF2-40B4-BE49-F238E27FC236}">
              <a16:creationId xmlns:a16="http://schemas.microsoft.com/office/drawing/2014/main" id="{00000000-0008-0000-1100-00003A000000}"/>
            </a:ext>
          </a:extLst>
        </xdr:cNvPr>
        <xdr:cNvSpPr/>
      </xdr:nvSpPr>
      <xdr:spPr>
        <a:xfrm>
          <a:off x="0" y="0"/>
          <a:ext cx="1000944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948240</xdr:colOff>
      <xdr:row>52</xdr:row>
      <xdr:rowOff>24480</xdr:rowOff>
    </xdr:to>
    <xdr:sp macro="" textlink="">
      <xdr:nvSpPr>
        <xdr:cNvPr id="59" name="CustomShape 1" hidden="1">
          <a:extLst>
            <a:ext uri="{FF2B5EF4-FFF2-40B4-BE49-F238E27FC236}">
              <a16:creationId xmlns:a16="http://schemas.microsoft.com/office/drawing/2014/main" id="{00000000-0008-0000-1100-00003B000000}"/>
            </a:ext>
          </a:extLst>
        </xdr:cNvPr>
        <xdr:cNvSpPr/>
      </xdr:nvSpPr>
      <xdr:spPr>
        <a:xfrm>
          <a:off x="0" y="0"/>
          <a:ext cx="1000944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962025</xdr:colOff>
      <xdr:row>52</xdr:row>
      <xdr:rowOff>38100</xdr:rowOff>
    </xdr:to>
    <xdr:sp macro="" textlink="">
      <xdr:nvSpPr>
        <xdr:cNvPr id="15376" name="_x0000_t202" hidden="1">
          <a:extLst>
            <a:ext uri="{FF2B5EF4-FFF2-40B4-BE49-F238E27FC236}">
              <a16:creationId xmlns:a16="http://schemas.microsoft.com/office/drawing/2014/main" id="{00000000-0008-0000-1100-000010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4" name="_x0000_t202" hidden="1">
          <a:extLst>
            <a:ext uri="{FF2B5EF4-FFF2-40B4-BE49-F238E27FC236}">
              <a16:creationId xmlns:a16="http://schemas.microsoft.com/office/drawing/2014/main" id="{00000000-0008-0000-1100-00000E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2" name="_x0000_t202" hidden="1">
          <a:extLst>
            <a:ext uri="{FF2B5EF4-FFF2-40B4-BE49-F238E27FC236}">
              <a16:creationId xmlns:a16="http://schemas.microsoft.com/office/drawing/2014/main" id="{00000000-0008-0000-1100-00000C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0" name="_x0000_t202" hidden="1">
          <a:extLst>
            <a:ext uri="{FF2B5EF4-FFF2-40B4-BE49-F238E27FC236}">
              <a16:creationId xmlns:a16="http://schemas.microsoft.com/office/drawing/2014/main" id="{00000000-0008-0000-1100-00000A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8" name="_x0000_t202" hidden="1">
          <a:extLst>
            <a:ext uri="{FF2B5EF4-FFF2-40B4-BE49-F238E27FC236}">
              <a16:creationId xmlns:a16="http://schemas.microsoft.com/office/drawing/2014/main" id="{00000000-0008-0000-1100-000008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6" name="_x0000_t202" hidden="1">
          <a:extLst>
            <a:ext uri="{FF2B5EF4-FFF2-40B4-BE49-F238E27FC236}">
              <a16:creationId xmlns:a16="http://schemas.microsoft.com/office/drawing/2014/main" id="{00000000-0008-0000-1100-000006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4" name="_x0000_t202" hidden="1">
          <a:extLst>
            <a:ext uri="{FF2B5EF4-FFF2-40B4-BE49-F238E27FC236}">
              <a16:creationId xmlns:a16="http://schemas.microsoft.com/office/drawing/2014/main" id="{00000000-0008-0000-1100-000004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2" name="_x0000_t202" hidden="1">
          <a:extLst>
            <a:ext uri="{FF2B5EF4-FFF2-40B4-BE49-F238E27FC236}">
              <a16:creationId xmlns:a16="http://schemas.microsoft.com/office/drawing/2014/main" id="{00000000-0008-0000-1100-0000023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 name="AutoShape 16">
          <a:extLst>
            <a:ext uri="{FF2B5EF4-FFF2-40B4-BE49-F238E27FC236}">
              <a16:creationId xmlns:a16="http://schemas.microsoft.com/office/drawing/2014/main" id="{00000000-0008-0000-11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 name="AutoShape 14">
          <a:extLst>
            <a:ext uri="{FF2B5EF4-FFF2-40B4-BE49-F238E27FC236}">
              <a16:creationId xmlns:a16="http://schemas.microsoft.com/office/drawing/2014/main" id="{00000000-0008-0000-1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 name="AutoShape 12">
          <a:extLst>
            <a:ext uri="{FF2B5EF4-FFF2-40B4-BE49-F238E27FC236}">
              <a16:creationId xmlns:a16="http://schemas.microsoft.com/office/drawing/2014/main" id="{00000000-0008-0000-11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5" name="AutoShape 10">
          <a:extLst>
            <a:ext uri="{FF2B5EF4-FFF2-40B4-BE49-F238E27FC236}">
              <a16:creationId xmlns:a16="http://schemas.microsoft.com/office/drawing/2014/main" id="{00000000-0008-0000-11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6" name="AutoShape 8">
          <a:extLst>
            <a:ext uri="{FF2B5EF4-FFF2-40B4-BE49-F238E27FC236}">
              <a16:creationId xmlns:a16="http://schemas.microsoft.com/office/drawing/2014/main" id="{00000000-0008-0000-11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7" name="AutoShape 6">
          <a:extLst>
            <a:ext uri="{FF2B5EF4-FFF2-40B4-BE49-F238E27FC236}">
              <a16:creationId xmlns:a16="http://schemas.microsoft.com/office/drawing/2014/main" id="{00000000-0008-0000-11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8" name="AutoShape 4">
          <a:extLst>
            <a:ext uri="{FF2B5EF4-FFF2-40B4-BE49-F238E27FC236}">
              <a16:creationId xmlns:a16="http://schemas.microsoft.com/office/drawing/2014/main" id="{00000000-0008-0000-11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9" name="AutoShape 2">
          <a:extLst>
            <a:ext uri="{FF2B5EF4-FFF2-40B4-BE49-F238E27FC236}">
              <a16:creationId xmlns:a16="http://schemas.microsoft.com/office/drawing/2014/main" id="{00000000-0008-0000-11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0" name="AutoShape 16">
          <a:extLst>
            <a:ext uri="{FF2B5EF4-FFF2-40B4-BE49-F238E27FC236}">
              <a16:creationId xmlns:a16="http://schemas.microsoft.com/office/drawing/2014/main" id="{00000000-0008-0000-11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1" name="AutoShape 14">
          <a:extLst>
            <a:ext uri="{FF2B5EF4-FFF2-40B4-BE49-F238E27FC236}">
              <a16:creationId xmlns:a16="http://schemas.microsoft.com/office/drawing/2014/main" id="{00000000-0008-0000-11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2" name="AutoShape 12">
          <a:extLst>
            <a:ext uri="{FF2B5EF4-FFF2-40B4-BE49-F238E27FC236}">
              <a16:creationId xmlns:a16="http://schemas.microsoft.com/office/drawing/2014/main" id="{00000000-0008-0000-11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3" name="AutoShape 10">
          <a:extLst>
            <a:ext uri="{FF2B5EF4-FFF2-40B4-BE49-F238E27FC236}">
              <a16:creationId xmlns:a16="http://schemas.microsoft.com/office/drawing/2014/main" id="{00000000-0008-0000-11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4" name="AutoShape 8">
          <a:extLst>
            <a:ext uri="{FF2B5EF4-FFF2-40B4-BE49-F238E27FC236}">
              <a16:creationId xmlns:a16="http://schemas.microsoft.com/office/drawing/2014/main" id="{00000000-0008-0000-11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 name="AutoShape 6">
          <a:extLst>
            <a:ext uri="{FF2B5EF4-FFF2-40B4-BE49-F238E27FC236}">
              <a16:creationId xmlns:a16="http://schemas.microsoft.com/office/drawing/2014/main" id="{00000000-0008-0000-11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6" name="AutoShape 4">
          <a:extLst>
            <a:ext uri="{FF2B5EF4-FFF2-40B4-BE49-F238E27FC236}">
              <a16:creationId xmlns:a16="http://schemas.microsoft.com/office/drawing/2014/main" id="{00000000-0008-0000-11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7" name="AutoShape 2">
          <a:extLst>
            <a:ext uri="{FF2B5EF4-FFF2-40B4-BE49-F238E27FC236}">
              <a16:creationId xmlns:a16="http://schemas.microsoft.com/office/drawing/2014/main" id="{00000000-0008-0000-11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8" name="AutoShape 16">
          <a:extLst>
            <a:ext uri="{FF2B5EF4-FFF2-40B4-BE49-F238E27FC236}">
              <a16:creationId xmlns:a16="http://schemas.microsoft.com/office/drawing/2014/main" id="{00000000-0008-0000-11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9" name="AutoShape 14">
          <a:extLst>
            <a:ext uri="{FF2B5EF4-FFF2-40B4-BE49-F238E27FC236}">
              <a16:creationId xmlns:a16="http://schemas.microsoft.com/office/drawing/2014/main" id="{00000000-0008-0000-11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0" name="AutoShape 12">
          <a:extLst>
            <a:ext uri="{FF2B5EF4-FFF2-40B4-BE49-F238E27FC236}">
              <a16:creationId xmlns:a16="http://schemas.microsoft.com/office/drawing/2014/main" id="{00000000-0008-0000-11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1" name="AutoShape 10">
          <a:extLst>
            <a:ext uri="{FF2B5EF4-FFF2-40B4-BE49-F238E27FC236}">
              <a16:creationId xmlns:a16="http://schemas.microsoft.com/office/drawing/2014/main" id="{00000000-0008-0000-11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2" name="AutoShape 8">
          <a:extLst>
            <a:ext uri="{FF2B5EF4-FFF2-40B4-BE49-F238E27FC236}">
              <a16:creationId xmlns:a16="http://schemas.microsoft.com/office/drawing/2014/main" id="{00000000-0008-0000-11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3" name="AutoShape 6">
          <a:extLst>
            <a:ext uri="{FF2B5EF4-FFF2-40B4-BE49-F238E27FC236}">
              <a16:creationId xmlns:a16="http://schemas.microsoft.com/office/drawing/2014/main" id="{00000000-0008-0000-11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4" name="AutoShape 4">
          <a:extLst>
            <a:ext uri="{FF2B5EF4-FFF2-40B4-BE49-F238E27FC236}">
              <a16:creationId xmlns:a16="http://schemas.microsoft.com/office/drawing/2014/main" id="{00000000-0008-0000-11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5" name="AutoShape 2">
          <a:extLst>
            <a:ext uri="{FF2B5EF4-FFF2-40B4-BE49-F238E27FC236}">
              <a16:creationId xmlns:a16="http://schemas.microsoft.com/office/drawing/2014/main" id="{00000000-0008-0000-11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6" name="AutoShape 16">
          <a:extLst>
            <a:ext uri="{FF2B5EF4-FFF2-40B4-BE49-F238E27FC236}">
              <a16:creationId xmlns:a16="http://schemas.microsoft.com/office/drawing/2014/main" id="{00000000-0008-0000-11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7" name="AutoShape 14">
          <a:extLst>
            <a:ext uri="{FF2B5EF4-FFF2-40B4-BE49-F238E27FC236}">
              <a16:creationId xmlns:a16="http://schemas.microsoft.com/office/drawing/2014/main" id="{00000000-0008-0000-11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8" name="AutoShape 12">
          <a:extLst>
            <a:ext uri="{FF2B5EF4-FFF2-40B4-BE49-F238E27FC236}">
              <a16:creationId xmlns:a16="http://schemas.microsoft.com/office/drawing/2014/main" id="{00000000-0008-0000-11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29" name="AutoShape 10">
          <a:extLst>
            <a:ext uri="{FF2B5EF4-FFF2-40B4-BE49-F238E27FC236}">
              <a16:creationId xmlns:a16="http://schemas.microsoft.com/office/drawing/2014/main" id="{00000000-0008-0000-11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0" name="AutoShape 8">
          <a:extLst>
            <a:ext uri="{FF2B5EF4-FFF2-40B4-BE49-F238E27FC236}">
              <a16:creationId xmlns:a16="http://schemas.microsoft.com/office/drawing/2014/main" id="{00000000-0008-0000-11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1" name="AutoShape 6">
          <a:extLst>
            <a:ext uri="{FF2B5EF4-FFF2-40B4-BE49-F238E27FC236}">
              <a16:creationId xmlns:a16="http://schemas.microsoft.com/office/drawing/2014/main" id="{00000000-0008-0000-11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2" name="AutoShape 4">
          <a:extLst>
            <a:ext uri="{FF2B5EF4-FFF2-40B4-BE49-F238E27FC236}">
              <a16:creationId xmlns:a16="http://schemas.microsoft.com/office/drawing/2014/main" id="{00000000-0008-0000-11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3" name="AutoShape 2">
          <a:extLst>
            <a:ext uri="{FF2B5EF4-FFF2-40B4-BE49-F238E27FC236}">
              <a16:creationId xmlns:a16="http://schemas.microsoft.com/office/drawing/2014/main" id="{00000000-0008-0000-11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4" name="AutoShape 16">
          <a:extLst>
            <a:ext uri="{FF2B5EF4-FFF2-40B4-BE49-F238E27FC236}">
              <a16:creationId xmlns:a16="http://schemas.microsoft.com/office/drawing/2014/main" id="{00000000-0008-0000-11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5" name="AutoShape 14">
          <a:extLst>
            <a:ext uri="{FF2B5EF4-FFF2-40B4-BE49-F238E27FC236}">
              <a16:creationId xmlns:a16="http://schemas.microsoft.com/office/drawing/2014/main" id="{00000000-0008-0000-11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6" name="AutoShape 12">
          <a:extLst>
            <a:ext uri="{FF2B5EF4-FFF2-40B4-BE49-F238E27FC236}">
              <a16:creationId xmlns:a16="http://schemas.microsoft.com/office/drawing/2014/main" id="{00000000-0008-0000-11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7" name="AutoShape 10">
          <a:extLst>
            <a:ext uri="{FF2B5EF4-FFF2-40B4-BE49-F238E27FC236}">
              <a16:creationId xmlns:a16="http://schemas.microsoft.com/office/drawing/2014/main" id="{00000000-0008-0000-11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8" name="AutoShape 8">
          <a:extLst>
            <a:ext uri="{FF2B5EF4-FFF2-40B4-BE49-F238E27FC236}">
              <a16:creationId xmlns:a16="http://schemas.microsoft.com/office/drawing/2014/main" id="{00000000-0008-0000-11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39" name="AutoShape 6">
          <a:extLst>
            <a:ext uri="{FF2B5EF4-FFF2-40B4-BE49-F238E27FC236}">
              <a16:creationId xmlns:a16="http://schemas.microsoft.com/office/drawing/2014/main" id="{00000000-0008-0000-11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0" name="AutoShape 4">
          <a:extLst>
            <a:ext uri="{FF2B5EF4-FFF2-40B4-BE49-F238E27FC236}">
              <a16:creationId xmlns:a16="http://schemas.microsoft.com/office/drawing/2014/main" id="{00000000-0008-0000-11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1" name="AutoShape 2">
          <a:extLst>
            <a:ext uri="{FF2B5EF4-FFF2-40B4-BE49-F238E27FC236}">
              <a16:creationId xmlns:a16="http://schemas.microsoft.com/office/drawing/2014/main" id="{00000000-0008-0000-1100-00002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2" name="AutoShape 16">
          <a:extLst>
            <a:ext uri="{FF2B5EF4-FFF2-40B4-BE49-F238E27FC236}">
              <a16:creationId xmlns:a16="http://schemas.microsoft.com/office/drawing/2014/main" id="{00000000-0008-0000-11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3" name="AutoShape 14">
          <a:extLst>
            <a:ext uri="{FF2B5EF4-FFF2-40B4-BE49-F238E27FC236}">
              <a16:creationId xmlns:a16="http://schemas.microsoft.com/office/drawing/2014/main" id="{00000000-0008-0000-11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4" name="AutoShape 12">
          <a:extLst>
            <a:ext uri="{FF2B5EF4-FFF2-40B4-BE49-F238E27FC236}">
              <a16:creationId xmlns:a16="http://schemas.microsoft.com/office/drawing/2014/main" id="{00000000-0008-0000-1100-00002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5" name="AutoShape 10">
          <a:extLst>
            <a:ext uri="{FF2B5EF4-FFF2-40B4-BE49-F238E27FC236}">
              <a16:creationId xmlns:a16="http://schemas.microsoft.com/office/drawing/2014/main" id="{00000000-0008-0000-1100-00002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6" name="AutoShape 8">
          <a:extLst>
            <a:ext uri="{FF2B5EF4-FFF2-40B4-BE49-F238E27FC236}">
              <a16:creationId xmlns:a16="http://schemas.microsoft.com/office/drawing/2014/main" id="{00000000-0008-0000-1100-00002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7" name="AutoShape 6">
          <a:extLst>
            <a:ext uri="{FF2B5EF4-FFF2-40B4-BE49-F238E27FC236}">
              <a16:creationId xmlns:a16="http://schemas.microsoft.com/office/drawing/2014/main" id="{00000000-0008-0000-1100-00002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8" name="AutoShape 4">
          <a:extLst>
            <a:ext uri="{FF2B5EF4-FFF2-40B4-BE49-F238E27FC236}">
              <a16:creationId xmlns:a16="http://schemas.microsoft.com/office/drawing/2014/main" id="{00000000-0008-0000-1100-00003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49" name="AutoShape 2">
          <a:extLst>
            <a:ext uri="{FF2B5EF4-FFF2-40B4-BE49-F238E27FC236}">
              <a16:creationId xmlns:a16="http://schemas.microsoft.com/office/drawing/2014/main" id="{00000000-0008-0000-1100-00003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50" name="AutoShape 16">
          <a:extLst>
            <a:ext uri="{FF2B5EF4-FFF2-40B4-BE49-F238E27FC236}">
              <a16:creationId xmlns:a16="http://schemas.microsoft.com/office/drawing/2014/main" id="{00000000-0008-0000-1100-00003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51" name="AutoShape 14">
          <a:extLst>
            <a:ext uri="{FF2B5EF4-FFF2-40B4-BE49-F238E27FC236}">
              <a16:creationId xmlns:a16="http://schemas.microsoft.com/office/drawing/2014/main" id="{00000000-0008-0000-1100-00003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52" name="AutoShape 12">
          <a:extLst>
            <a:ext uri="{FF2B5EF4-FFF2-40B4-BE49-F238E27FC236}">
              <a16:creationId xmlns:a16="http://schemas.microsoft.com/office/drawing/2014/main" id="{00000000-0008-0000-1100-00003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60" name="AutoShape 10">
          <a:extLst>
            <a:ext uri="{FF2B5EF4-FFF2-40B4-BE49-F238E27FC236}">
              <a16:creationId xmlns:a16="http://schemas.microsoft.com/office/drawing/2014/main" id="{00000000-0008-0000-1100-00003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61" name="AutoShape 8">
          <a:extLst>
            <a:ext uri="{FF2B5EF4-FFF2-40B4-BE49-F238E27FC236}">
              <a16:creationId xmlns:a16="http://schemas.microsoft.com/office/drawing/2014/main" id="{00000000-0008-0000-1100-00003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62" name="AutoShape 6">
          <a:extLst>
            <a:ext uri="{FF2B5EF4-FFF2-40B4-BE49-F238E27FC236}">
              <a16:creationId xmlns:a16="http://schemas.microsoft.com/office/drawing/2014/main" id="{00000000-0008-0000-1100-00003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63" name="AutoShape 4">
          <a:extLst>
            <a:ext uri="{FF2B5EF4-FFF2-40B4-BE49-F238E27FC236}">
              <a16:creationId xmlns:a16="http://schemas.microsoft.com/office/drawing/2014/main" id="{00000000-0008-0000-1100-00003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0" name="AutoShape 2">
          <a:extLst>
            <a:ext uri="{FF2B5EF4-FFF2-40B4-BE49-F238E27FC236}">
              <a16:creationId xmlns:a16="http://schemas.microsoft.com/office/drawing/2014/main" id="{00000000-0008-0000-1100-000000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1" name="AutoShape 16">
          <a:extLst>
            <a:ext uri="{FF2B5EF4-FFF2-40B4-BE49-F238E27FC236}">
              <a16:creationId xmlns:a16="http://schemas.microsoft.com/office/drawing/2014/main" id="{00000000-0008-0000-1100-000001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3" name="AutoShape 14">
          <a:extLst>
            <a:ext uri="{FF2B5EF4-FFF2-40B4-BE49-F238E27FC236}">
              <a16:creationId xmlns:a16="http://schemas.microsoft.com/office/drawing/2014/main" id="{00000000-0008-0000-1100-000003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5" name="AutoShape 12">
          <a:extLst>
            <a:ext uri="{FF2B5EF4-FFF2-40B4-BE49-F238E27FC236}">
              <a16:creationId xmlns:a16="http://schemas.microsoft.com/office/drawing/2014/main" id="{00000000-0008-0000-1100-000005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7" name="AutoShape 10">
          <a:extLst>
            <a:ext uri="{FF2B5EF4-FFF2-40B4-BE49-F238E27FC236}">
              <a16:creationId xmlns:a16="http://schemas.microsoft.com/office/drawing/2014/main" id="{00000000-0008-0000-1100-000007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69" name="AutoShape 8">
          <a:extLst>
            <a:ext uri="{FF2B5EF4-FFF2-40B4-BE49-F238E27FC236}">
              <a16:creationId xmlns:a16="http://schemas.microsoft.com/office/drawing/2014/main" id="{00000000-0008-0000-1100-000009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1" name="AutoShape 6">
          <a:extLst>
            <a:ext uri="{FF2B5EF4-FFF2-40B4-BE49-F238E27FC236}">
              <a16:creationId xmlns:a16="http://schemas.microsoft.com/office/drawing/2014/main" id="{00000000-0008-0000-1100-00000B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3" name="AutoShape 4">
          <a:extLst>
            <a:ext uri="{FF2B5EF4-FFF2-40B4-BE49-F238E27FC236}">
              <a16:creationId xmlns:a16="http://schemas.microsoft.com/office/drawing/2014/main" id="{00000000-0008-0000-1100-00000D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5" name="AutoShape 2">
          <a:extLst>
            <a:ext uri="{FF2B5EF4-FFF2-40B4-BE49-F238E27FC236}">
              <a16:creationId xmlns:a16="http://schemas.microsoft.com/office/drawing/2014/main" id="{00000000-0008-0000-1100-00000F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7" name="AutoShape 16">
          <a:extLst>
            <a:ext uri="{FF2B5EF4-FFF2-40B4-BE49-F238E27FC236}">
              <a16:creationId xmlns:a16="http://schemas.microsoft.com/office/drawing/2014/main" id="{00000000-0008-0000-1100-000011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8" name="AutoShape 14">
          <a:extLst>
            <a:ext uri="{FF2B5EF4-FFF2-40B4-BE49-F238E27FC236}">
              <a16:creationId xmlns:a16="http://schemas.microsoft.com/office/drawing/2014/main" id="{00000000-0008-0000-1100-000012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79" name="AutoShape 12">
          <a:extLst>
            <a:ext uri="{FF2B5EF4-FFF2-40B4-BE49-F238E27FC236}">
              <a16:creationId xmlns:a16="http://schemas.microsoft.com/office/drawing/2014/main" id="{00000000-0008-0000-1100-000013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0" name="AutoShape 10">
          <a:extLst>
            <a:ext uri="{FF2B5EF4-FFF2-40B4-BE49-F238E27FC236}">
              <a16:creationId xmlns:a16="http://schemas.microsoft.com/office/drawing/2014/main" id="{00000000-0008-0000-1100-000014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1" name="AutoShape 8">
          <a:extLst>
            <a:ext uri="{FF2B5EF4-FFF2-40B4-BE49-F238E27FC236}">
              <a16:creationId xmlns:a16="http://schemas.microsoft.com/office/drawing/2014/main" id="{00000000-0008-0000-1100-000015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2" name="AutoShape 6">
          <a:extLst>
            <a:ext uri="{FF2B5EF4-FFF2-40B4-BE49-F238E27FC236}">
              <a16:creationId xmlns:a16="http://schemas.microsoft.com/office/drawing/2014/main" id="{00000000-0008-0000-1100-000016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3" name="AutoShape 4">
          <a:extLst>
            <a:ext uri="{FF2B5EF4-FFF2-40B4-BE49-F238E27FC236}">
              <a16:creationId xmlns:a16="http://schemas.microsoft.com/office/drawing/2014/main" id="{00000000-0008-0000-1100-000017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4" name="AutoShape 2">
          <a:extLst>
            <a:ext uri="{FF2B5EF4-FFF2-40B4-BE49-F238E27FC236}">
              <a16:creationId xmlns:a16="http://schemas.microsoft.com/office/drawing/2014/main" id="{00000000-0008-0000-1100-000018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5" name="AutoShape 16">
          <a:extLst>
            <a:ext uri="{FF2B5EF4-FFF2-40B4-BE49-F238E27FC236}">
              <a16:creationId xmlns:a16="http://schemas.microsoft.com/office/drawing/2014/main" id="{00000000-0008-0000-1100-000019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6" name="AutoShape 14">
          <a:extLst>
            <a:ext uri="{FF2B5EF4-FFF2-40B4-BE49-F238E27FC236}">
              <a16:creationId xmlns:a16="http://schemas.microsoft.com/office/drawing/2014/main" id="{00000000-0008-0000-1100-00001A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7" name="AutoShape 12">
          <a:extLst>
            <a:ext uri="{FF2B5EF4-FFF2-40B4-BE49-F238E27FC236}">
              <a16:creationId xmlns:a16="http://schemas.microsoft.com/office/drawing/2014/main" id="{00000000-0008-0000-1100-00001B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8" name="AutoShape 10">
          <a:extLst>
            <a:ext uri="{FF2B5EF4-FFF2-40B4-BE49-F238E27FC236}">
              <a16:creationId xmlns:a16="http://schemas.microsoft.com/office/drawing/2014/main" id="{00000000-0008-0000-1100-00001C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89" name="AutoShape 8">
          <a:extLst>
            <a:ext uri="{FF2B5EF4-FFF2-40B4-BE49-F238E27FC236}">
              <a16:creationId xmlns:a16="http://schemas.microsoft.com/office/drawing/2014/main" id="{00000000-0008-0000-1100-00001D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90" name="AutoShape 6">
          <a:extLst>
            <a:ext uri="{FF2B5EF4-FFF2-40B4-BE49-F238E27FC236}">
              <a16:creationId xmlns:a16="http://schemas.microsoft.com/office/drawing/2014/main" id="{00000000-0008-0000-1100-00001E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91" name="AutoShape 4">
          <a:extLst>
            <a:ext uri="{FF2B5EF4-FFF2-40B4-BE49-F238E27FC236}">
              <a16:creationId xmlns:a16="http://schemas.microsoft.com/office/drawing/2014/main" id="{00000000-0008-0000-1100-00001F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962025</xdr:colOff>
      <xdr:row>52</xdr:row>
      <xdr:rowOff>38100</xdr:rowOff>
    </xdr:to>
    <xdr:sp macro="" textlink="">
      <xdr:nvSpPr>
        <xdr:cNvPr id="15392" name="AutoShape 2">
          <a:extLst>
            <a:ext uri="{FF2B5EF4-FFF2-40B4-BE49-F238E27FC236}">
              <a16:creationId xmlns:a16="http://schemas.microsoft.com/office/drawing/2014/main" id="{00000000-0008-0000-1100-0000203C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500400</xdr:colOff>
      <xdr:row>63</xdr:row>
      <xdr:rowOff>4680</xdr:rowOff>
    </xdr:to>
    <xdr:sp macro="" textlink="">
      <xdr:nvSpPr>
        <xdr:cNvPr id="60" name="CustomShape 1" hidden="1">
          <a:extLst>
            <a:ext uri="{FF2B5EF4-FFF2-40B4-BE49-F238E27FC236}">
              <a16:creationId xmlns:a16="http://schemas.microsoft.com/office/drawing/2014/main" id="{00000000-0008-0000-1200-00003C000000}"/>
            </a:ext>
          </a:extLst>
        </xdr:cNvPr>
        <xdr:cNvSpPr/>
      </xdr:nvSpPr>
      <xdr:spPr>
        <a:xfrm>
          <a:off x="0" y="0"/>
          <a:ext cx="12574080" cy="1077156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786600</xdr:colOff>
      <xdr:row>59</xdr:row>
      <xdr:rowOff>119880</xdr:rowOff>
    </xdr:to>
    <xdr:sp macro="" textlink="">
      <xdr:nvSpPr>
        <xdr:cNvPr id="61" name="CustomShape 1" hidden="1">
          <a:extLst>
            <a:ext uri="{FF2B5EF4-FFF2-40B4-BE49-F238E27FC236}">
              <a16:creationId xmlns:a16="http://schemas.microsoft.com/office/drawing/2014/main" id="{00000000-0008-0000-1200-00003D000000}"/>
            </a:ext>
          </a:extLst>
        </xdr:cNvPr>
        <xdr:cNvSpPr/>
      </xdr:nvSpPr>
      <xdr:spPr>
        <a:xfrm>
          <a:off x="0" y="0"/>
          <a:ext cx="10018080" cy="102391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786600</xdr:colOff>
      <xdr:row>59</xdr:row>
      <xdr:rowOff>119880</xdr:rowOff>
    </xdr:to>
    <xdr:sp macro="" textlink="">
      <xdr:nvSpPr>
        <xdr:cNvPr id="62" name="CustomShape 1" hidden="1">
          <a:extLst>
            <a:ext uri="{FF2B5EF4-FFF2-40B4-BE49-F238E27FC236}">
              <a16:creationId xmlns:a16="http://schemas.microsoft.com/office/drawing/2014/main" id="{00000000-0008-0000-1200-00003E000000}"/>
            </a:ext>
          </a:extLst>
        </xdr:cNvPr>
        <xdr:cNvSpPr/>
      </xdr:nvSpPr>
      <xdr:spPr>
        <a:xfrm>
          <a:off x="0" y="0"/>
          <a:ext cx="10018080" cy="102391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786600</xdr:colOff>
      <xdr:row>59</xdr:row>
      <xdr:rowOff>119880</xdr:rowOff>
    </xdr:to>
    <xdr:sp macro="" textlink="">
      <xdr:nvSpPr>
        <xdr:cNvPr id="63" name="CustomShape 1" hidden="1">
          <a:extLst>
            <a:ext uri="{FF2B5EF4-FFF2-40B4-BE49-F238E27FC236}">
              <a16:creationId xmlns:a16="http://schemas.microsoft.com/office/drawing/2014/main" id="{00000000-0008-0000-1200-00003F000000}"/>
            </a:ext>
          </a:extLst>
        </xdr:cNvPr>
        <xdr:cNvSpPr/>
      </xdr:nvSpPr>
      <xdr:spPr>
        <a:xfrm>
          <a:off x="0" y="0"/>
          <a:ext cx="10018080" cy="102391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786600</xdr:colOff>
      <xdr:row>59</xdr:row>
      <xdr:rowOff>119880</xdr:rowOff>
    </xdr:to>
    <xdr:sp macro="" textlink="">
      <xdr:nvSpPr>
        <xdr:cNvPr id="64" name="CustomShape 1" hidden="1">
          <a:extLst>
            <a:ext uri="{FF2B5EF4-FFF2-40B4-BE49-F238E27FC236}">
              <a16:creationId xmlns:a16="http://schemas.microsoft.com/office/drawing/2014/main" id="{00000000-0008-0000-1200-000040000000}"/>
            </a:ext>
          </a:extLst>
        </xdr:cNvPr>
        <xdr:cNvSpPr/>
      </xdr:nvSpPr>
      <xdr:spPr>
        <a:xfrm>
          <a:off x="0" y="0"/>
          <a:ext cx="10018080" cy="102391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786600</xdr:colOff>
      <xdr:row>59</xdr:row>
      <xdr:rowOff>119880</xdr:rowOff>
    </xdr:to>
    <xdr:sp macro="" textlink="">
      <xdr:nvSpPr>
        <xdr:cNvPr id="65" name="CustomShape 1" hidden="1">
          <a:extLst>
            <a:ext uri="{FF2B5EF4-FFF2-40B4-BE49-F238E27FC236}">
              <a16:creationId xmlns:a16="http://schemas.microsoft.com/office/drawing/2014/main" id="{00000000-0008-0000-1200-000041000000}"/>
            </a:ext>
          </a:extLst>
        </xdr:cNvPr>
        <xdr:cNvSpPr/>
      </xdr:nvSpPr>
      <xdr:spPr>
        <a:xfrm>
          <a:off x="0" y="0"/>
          <a:ext cx="10018080" cy="102391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786600</xdr:colOff>
      <xdr:row>59</xdr:row>
      <xdr:rowOff>119880</xdr:rowOff>
    </xdr:to>
    <xdr:sp macro="" textlink="">
      <xdr:nvSpPr>
        <xdr:cNvPr id="66" name="CustomShape 1" hidden="1">
          <a:extLst>
            <a:ext uri="{FF2B5EF4-FFF2-40B4-BE49-F238E27FC236}">
              <a16:creationId xmlns:a16="http://schemas.microsoft.com/office/drawing/2014/main" id="{00000000-0008-0000-1200-000042000000}"/>
            </a:ext>
          </a:extLst>
        </xdr:cNvPr>
        <xdr:cNvSpPr/>
      </xdr:nvSpPr>
      <xdr:spPr>
        <a:xfrm>
          <a:off x="0" y="0"/>
          <a:ext cx="10018080" cy="102391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800100</xdr:colOff>
      <xdr:row>55</xdr:row>
      <xdr:rowOff>66675</xdr:rowOff>
    </xdr:to>
    <xdr:sp macro="" textlink="">
      <xdr:nvSpPr>
        <xdr:cNvPr id="16400" name="_x0000_t202" hidden="1">
          <a:extLst>
            <a:ext uri="{FF2B5EF4-FFF2-40B4-BE49-F238E27FC236}">
              <a16:creationId xmlns:a16="http://schemas.microsoft.com/office/drawing/2014/main" id="{00000000-0008-0000-1200-000010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98" name="_x0000_t202" hidden="1">
          <a:extLst>
            <a:ext uri="{FF2B5EF4-FFF2-40B4-BE49-F238E27FC236}">
              <a16:creationId xmlns:a16="http://schemas.microsoft.com/office/drawing/2014/main" id="{00000000-0008-0000-1200-00000E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96" name="_x0000_t202" hidden="1">
          <a:extLst>
            <a:ext uri="{FF2B5EF4-FFF2-40B4-BE49-F238E27FC236}">
              <a16:creationId xmlns:a16="http://schemas.microsoft.com/office/drawing/2014/main" id="{00000000-0008-0000-1200-00000C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94" name="_x0000_t202" hidden="1">
          <a:extLst>
            <a:ext uri="{FF2B5EF4-FFF2-40B4-BE49-F238E27FC236}">
              <a16:creationId xmlns:a16="http://schemas.microsoft.com/office/drawing/2014/main" id="{00000000-0008-0000-1200-00000A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92" name="_x0000_t202" hidden="1">
          <a:extLst>
            <a:ext uri="{FF2B5EF4-FFF2-40B4-BE49-F238E27FC236}">
              <a16:creationId xmlns:a16="http://schemas.microsoft.com/office/drawing/2014/main" id="{00000000-0008-0000-1200-000008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90" name="_x0000_t202" hidden="1">
          <a:extLst>
            <a:ext uri="{FF2B5EF4-FFF2-40B4-BE49-F238E27FC236}">
              <a16:creationId xmlns:a16="http://schemas.microsoft.com/office/drawing/2014/main" id="{00000000-0008-0000-1200-000006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88" name="_x0000_t202" hidden="1">
          <a:extLst>
            <a:ext uri="{FF2B5EF4-FFF2-40B4-BE49-F238E27FC236}">
              <a16:creationId xmlns:a16="http://schemas.microsoft.com/office/drawing/2014/main" id="{00000000-0008-0000-1200-000004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386" name="_x0000_t202" hidden="1">
          <a:extLst>
            <a:ext uri="{FF2B5EF4-FFF2-40B4-BE49-F238E27FC236}">
              <a16:creationId xmlns:a16="http://schemas.microsoft.com/office/drawing/2014/main" id="{00000000-0008-0000-1200-0000024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 name="AutoShape 16">
          <a:extLst>
            <a:ext uri="{FF2B5EF4-FFF2-40B4-BE49-F238E27FC236}">
              <a16:creationId xmlns:a16="http://schemas.microsoft.com/office/drawing/2014/main" id="{00000000-0008-0000-12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 name="AutoShape 14">
          <a:extLst>
            <a:ext uri="{FF2B5EF4-FFF2-40B4-BE49-F238E27FC236}">
              <a16:creationId xmlns:a16="http://schemas.microsoft.com/office/drawing/2014/main" id="{00000000-0008-0000-1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 name="AutoShape 12">
          <a:extLst>
            <a:ext uri="{FF2B5EF4-FFF2-40B4-BE49-F238E27FC236}">
              <a16:creationId xmlns:a16="http://schemas.microsoft.com/office/drawing/2014/main" id="{00000000-0008-0000-12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 name="AutoShape 10">
          <a:extLst>
            <a:ext uri="{FF2B5EF4-FFF2-40B4-BE49-F238E27FC236}">
              <a16:creationId xmlns:a16="http://schemas.microsoft.com/office/drawing/2014/main" id="{00000000-0008-0000-12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6" name="AutoShape 8">
          <a:extLst>
            <a:ext uri="{FF2B5EF4-FFF2-40B4-BE49-F238E27FC236}">
              <a16:creationId xmlns:a16="http://schemas.microsoft.com/office/drawing/2014/main" id="{00000000-0008-0000-12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 name="AutoShape 6">
          <a:extLst>
            <a:ext uri="{FF2B5EF4-FFF2-40B4-BE49-F238E27FC236}">
              <a16:creationId xmlns:a16="http://schemas.microsoft.com/office/drawing/2014/main" id="{00000000-0008-0000-12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 name="AutoShape 4">
          <a:extLst>
            <a:ext uri="{FF2B5EF4-FFF2-40B4-BE49-F238E27FC236}">
              <a16:creationId xmlns:a16="http://schemas.microsoft.com/office/drawing/2014/main" id="{00000000-0008-0000-12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9" name="AutoShape 2">
          <a:extLst>
            <a:ext uri="{FF2B5EF4-FFF2-40B4-BE49-F238E27FC236}">
              <a16:creationId xmlns:a16="http://schemas.microsoft.com/office/drawing/2014/main" id="{00000000-0008-0000-12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0" name="AutoShape 16">
          <a:extLst>
            <a:ext uri="{FF2B5EF4-FFF2-40B4-BE49-F238E27FC236}">
              <a16:creationId xmlns:a16="http://schemas.microsoft.com/office/drawing/2014/main" id="{00000000-0008-0000-12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1" name="AutoShape 14">
          <a:extLst>
            <a:ext uri="{FF2B5EF4-FFF2-40B4-BE49-F238E27FC236}">
              <a16:creationId xmlns:a16="http://schemas.microsoft.com/office/drawing/2014/main" id="{00000000-0008-0000-12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2" name="AutoShape 12">
          <a:extLst>
            <a:ext uri="{FF2B5EF4-FFF2-40B4-BE49-F238E27FC236}">
              <a16:creationId xmlns:a16="http://schemas.microsoft.com/office/drawing/2014/main" id="{00000000-0008-0000-12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3" name="AutoShape 10">
          <a:extLst>
            <a:ext uri="{FF2B5EF4-FFF2-40B4-BE49-F238E27FC236}">
              <a16:creationId xmlns:a16="http://schemas.microsoft.com/office/drawing/2014/main" id="{00000000-0008-0000-12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4" name="AutoShape 8">
          <a:extLst>
            <a:ext uri="{FF2B5EF4-FFF2-40B4-BE49-F238E27FC236}">
              <a16:creationId xmlns:a16="http://schemas.microsoft.com/office/drawing/2014/main" id="{00000000-0008-0000-12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5" name="AutoShape 6">
          <a:extLst>
            <a:ext uri="{FF2B5EF4-FFF2-40B4-BE49-F238E27FC236}">
              <a16:creationId xmlns:a16="http://schemas.microsoft.com/office/drawing/2014/main" id="{00000000-0008-0000-12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6" name="AutoShape 4">
          <a:extLst>
            <a:ext uri="{FF2B5EF4-FFF2-40B4-BE49-F238E27FC236}">
              <a16:creationId xmlns:a16="http://schemas.microsoft.com/office/drawing/2014/main" id="{00000000-0008-0000-12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7" name="AutoShape 2">
          <a:extLst>
            <a:ext uri="{FF2B5EF4-FFF2-40B4-BE49-F238E27FC236}">
              <a16:creationId xmlns:a16="http://schemas.microsoft.com/office/drawing/2014/main" id="{00000000-0008-0000-12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8" name="AutoShape 16">
          <a:extLst>
            <a:ext uri="{FF2B5EF4-FFF2-40B4-BE49-F238E27FC236}">
              <a16:creationId xmlns:a16="http://schemas.microsoft.com/office/drawing/2014/main" id="{00000000-0008-0000-12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19" name="AutoShape 14">
          <a:extLst>
            <a:ext uri="{FF2B5EF4-FFF2-40B4-BE49-F238E27FC236}">
              <a16:creationId xmlns:a16="http://schemas.microsoft.com/office/drawing/2014/main" id="{00000000-0008-0000-12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0" name="AutoShape 12">
          <a:extLst>
            <a:ext uri="{FF2B5EF4-FFF2-40B4-BE49-F238E27FC236}">
              <a16:creationId xmlns:a16="http://schemas.microsoft.com/office/drawing/2014/main" id="{00000000-0008-0000-12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1" name="AutoShape 10">
          <a:extLst>
            <a:ext uri="{FF2B5EF4-FFF2-40B4-BE49-F238E27FC236}">
              <a16:creationId xmlns:a16="http://schemas.microsoft.com/office/drawing/2014/main" id="{00000000-0008-0000-12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2" name="AutoShape 8">
          <a:extLst>
            <a:ext uri="{FF2B5EF4-FFF2-40B4-BE49-F238E27FC236}">
              <a16:creationId xmlns:a16="http://schemas.microsoft.com/office/drawing/2014/main" id="{00000000-0008-0000-12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3" name="AutoShape 6">
          <a:extLst>
            <a:ext uri="{FF2B5EF4-FFF2-40B4-BE49-F238E27FC236}">
              <a16:creationId xmlns:a16="http://schemas.microsoft.com/office/drawing/2014/main" id="{00000000-0008-0000-12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4" name="AutoShape 4">
          <a:extLst>
            <a:ext uri="{FF2B5EF4-FFF2-40B4-BE49-F238E27FC236}">
              <a16:creationId xmlns:a16="http://schemas.microsoft.com/office/drawing/2014/main" id="{00000000-0008-0000-12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5" name="AutoShape 2">
          <a:extLst>
            <a:ext uri="{FF2B5EF4-FFF2-40B4-BE49-F238E27FC236}">
              <a16:creationId xmlns:a16="http://schemas.microsoft.com/office/drawing/2014/main" id="{00000000-0008-0000-12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6" name="AutoShape 16">
          <a:extLst>
            <a:ext uri="{FF2B5EF4-FFF2-40B4-BE49-F238E27FC236}">
              <a16:creationId xmlns:a16="http://schemas.microsoft.com/office/drawing/2014/main" id="{00000000-0008-0000-12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7" name="AutoShape 14">
          <a:extLst>
            <a:ext uri="{FF2B5EF4-FFF2-40B4-BE49-F238E27FC236}">
              <a16:creationId xmlns:a16="http://schemas.microsoft.com/office/drawing/2014/main" id="{00000000-0008-0000-12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8" name="AutoShape 12">
          <a:extLst>
            <a:ext uri="{FF2B5EF4-FFF2-40B4-BE49-F238E27FC236}">
              <a16:creationId xmlns:a16="http://schemas.microsoft.com/office/drawing/2014/main" id="{00000000-0008-0000-12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29" name="AutoShape 10">
          <a:extLst>
            <a:ext uri="{FF2B5EF4-FFF2-40B4-BE49-F238E27FC236}">
              <a16:creationId xmlns:a16="http://schemas.microsoft.com/office/drawing/2014/main" id="{00000000-0008-0000-12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0" name="AutoShape 8">
          <a:extLst>
            <a:ext uri="{FF2B5EF4-FFF2-40B4-BE49-F238E27FC236}">
              <a16:creationId xmlns:a16="http://schemas.microsoft.com/office/drawing/2014/main" id="{00000000-0008-0000-12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1" name="AutoShape 6">
          <a:extLst>
            <a:ext uri="{FF2B5EF4-FFF2-40B4-BE49-F238E27FC236}">
              <a16:creationId xmlns:a16="http://schemas.microsoft.com/office/drawing/2014/main" id="{00000000-0008-0000-12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2" name="AutoShape 4">
          <a:extLst>
            <a:ext uri="{FF2B5EF4-FFF2-40B4-BE49-F238E27FC236}">
              <a16:creationId xmlns:a16="http://schemas.microsoft.com/office/drawing/2014/main" id="{00000000-0008-0000-12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3" name="AutoShape 2">
          <a:extLst>
            <a:ext uri="{FF2B5EF4-FFF2-40B4-BE49-F238E27FC236}">
              <a16:creationId xmlns:a16="http://schemas.microsoft.com/office/drawing/2014/main" id="{00000000-0008-0000-12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4" name="AutoShape 16">
          <a:extLst>
            <a:ext uri="{FF2B5EF4-FFF2-40B4-BE49-F238E27FC236}">
              <a16:creationId xmlns:a16="http://schemas.microsoft.com/office/drawing/2014/main" id="{00000000-0008-0000-12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5" name="AutoShape 14">
          <a:extLst>
            <a:ext uri="{FF2B5EF4-FFF2-40B4-BE49-F238E27FC236}">
              <a16:creationId xmlns:a16="http://schemas.microsoft.com/office/drawing/2014/main" id="{00000000-0008-0000-12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6" name="AutoShape 12">
          <a:extLst>
            <a:ext uri="{FF2B5EF4-FFF2-40B4-BE49-F238E27FC236}">
              <a16:creationId xmlns:a16="http://schemas.microsoft.com/office/drawing/2014/main" id="{00000000-0008-0000-12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7" name="AutoShape 10">
          <a:extLst>
            <a:ext uri="{FF2B5EF4-FFF2-40B4-BE49-F238E27FC236}">
              <a16:creationId xmlns:a16="http://schemas.microsoft.com/office/drawing/2014/main" id="{00000000-0008-0000-12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8" name="AutoShape 8">
          <a:extLst>
            <a:ext uri="{FF2B5EF4-FFF2-40B4-BE49-F238E27FC236}">
              <a16:creationId xmlns:a16="http://schemas.microsoft.com/office/drawing/2014/main" id="{00000000-0008-0000-12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39" name="AutoShape 6">
          <a:extLst>
            <a:ext uri="{FF2B5EF4-FFF2-40B4-BE49-F238E27FC236}">
              <a16:creationId xmlns:a16="http://schemas.microsoft.com/office/drawing/2014/main" id="{00000000-0008-0000-12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0" name="AutoShape 4">
          <a:extLst>
            <a:ext uri="{FF2B5EF4-FFF2-40B4-BE49-F238E27FC236}">
              <a16:creationId xmlns:a16="http://schemas.microsoft.com/office/drawing/2014/main" id="{00000000-0008-0000-12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1" name="AutoShape 2">
          <a:extLst>
            <a:ext uri="{FF2B5EF4-FFF2-40B4-BE49-F238E27FC236}">
              <a16:creationId xmlns:a16="http://schemas.microsoft.com/office/drawing/2014/main" id="{00000000-0008-0000-1200-00002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2" name="AutoShape 16">
          <a:extLst>
            <a:ext uri="{FF2B5EF4-FFF2-40B4-BE49-F238E27FC236}">
              <a16:creationId xmlns:a16="http://schemas.microsoft.com/office/drawing/2014/main" id="{00000000-0008-0000-12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3" name="AutoShape 14">
          <a:extLst>
            <a:ext uri="{FF2B5EF4-FFF2-40B4-BE49-F238E27FC236}">
              <a16:creationId xmlns:a16="http://schemas.microsoft.com/office/drawing/2014/main" id="{00000000-0008-0000-12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4" name="AutoShape 12">
          <a:extLst>
            <a:ext uri="{FF2B5EF4-FFF2-40B4-BE49-F238E27FC236}">
              <a16:creationId xmlns:a16="http://schemas.microsoft.com/office/drawing/2014/main" id="{00000000-0008-0000-1200-00002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5" name="AutoShape 10">
          <a:extLst>
            <a:ext uri="{FF2B5EF4-FFF2-40B4-BE49-F238E27FC236}">
              <a16:creationId xmlns:a16="http://schemas.microsoft.com/office/drawing/2014/main" id="{00000000-0008-0000-1200-00002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6" name="AutoShape 8">
          <a:extLst>
            <a:ext uri="{FF2B5EF4-FFF2-40B4-BE49-F238E27FC236}">
              <a16:creationId xmlns:a16="http://schemas.microsoft.com/office/drawing/2014/main" id="{00000000-0008-0000-1200-00002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7" name="AutoShape 6">
          <a:extLst>
            <a:ext uri="{FF2B5EF4-FFF2-40B4-BE49-F238E27FC236}">
              <a16:creationId xmlns:a16="http://schemas.microsoft.com/office/drawing/2014/main" id="{00000000-0008-0000-1200-00002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8" name="AutoShape 4">
          <a:extLst>
            <a:ext uri="{FF2B5EF4-FFF2-40B4-BE49-F238E27FC236}">
              <a16:creationId xmlns:a16="http://schemas.microsoft.com/office/drawing/2014/main" id="{00000000-0008-0000-1200-00003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49" name="AutoShape 2">
          <a:extLst>
            <a:ext uri="{FF2B5EF4-FFF2-40B4-BE49-F238E27FC236}">
              <a16:creationId xmlns:a16="http://schemas.microsoft.com/office/drawing/2014/main" id="{00000000-0008-0000-1200-00003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0" name="AutoShape 16">
          <a:extLst>
            <a:ext uri="{FF2B5EF4-FFF2-40B4-BE49-F238E27FC236}">
              <a16:creationId xmlns:a16="http://schemas.microsoft.com/office/drawing/2014/main" id="{00000000-0008-0000-1200-00003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1" name="AutoShape 14">
          <a:extLst>
            <a:ext uri="{FF2B5EF4-FFF2-40B4-BE49-F238E27FC236}">
              <a16:creationId xmlns:a16="http://schemas.microsoft.com/office/drawing/2014/main" id="{00000000-0008-0000-1200-00003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2" name="AutoShape 12">
          <a:extLst>
            <a:ext uri="{FF2B5EF4-FFF2-40B4-BE49-F238E27FC236}">
              <a16:creationId xmlns:a16="http://schemas.microsoft.com/office/drawing/2014/main" id="{00000000-0008-0000-1200-00003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3" name="AutoShape 10">
          <a:extLst>
            <a:ext uri="{FF2B5EF4-FFF2-40B4-BE49-F238E27FC236}">
              <a16:creationId xmlns:a16="http://schemas.microsoft.com/office/drawing/2014/main" id="{00000000-0008-0000-1200-00003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4" name="AutoShape 8">
          <a:extLst>
            <a:ext uri="{FF2B5EF4-FFF2-40B4-BE49-F238E27FC236}">
              <a16:creationId xmlns:a16="http://schemas.microsoft.com/office/drawing/2014/main" id="{00000000-0008-0000-1200-00003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5" name="AutoShape 6">
          <a:extLst>
            <a:ext uri="{FF2B5EF4-FFF2-40B4-BE49-F238E27FC236}">
              <a16:creationId xmlns:a16="http://schemas.microsoft.com/office/drawing/2014/main" id="{00000000-0008-0000-1200-00003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6" name="AutoShape 4">
          <a:extLst>
            <a:ext uri="{FF2B5EF4-FFF2-40B4-BE49-F238E27FC236}">
              <a16:creationId xmlns:a16="http://schemas.microsoft.com/office/drawing/2014/main" id="{00000000-0008-0000-1200-00003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7" name="AutoShape 2">
          <a:extLst>
            <a:ext uri="{FF2B5EF4-FFF2-40B4-BE49-F238E27FC236}">
              <a16:creationId xmlns:a16="http://schemas.microsoft.com/office/drawing/2014/main" id="{00000000-0008-0000-1200-00003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8" name="AutoShape 16">
          <a:extLst>
            <a:ext uri="{FF2B5EF4-FFF2-40B4-BE49-F238E27FC236}">
              <a16:creationId xmlns:a16="http://schemas.microsoft.com/office/drawing/2014/main" id="{00000000-0008-0000-1200-00003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59" name="AutoShape 14">
          <a:extLst>
            <a:ext uri="{FF2B5EF4-FFF2-40B4-BE49-F238E27FC236}">
              <a16:creationId xmlns:a16="http://schemas.microsoft.com/office/drawing/2014/main" id="{00000000-0008-0000-1200-00003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67" name="AutoShape 12">
          <a:extLst>
            <a:ext uri="{FF2B5EF4-FFF2-40B4-BE49-F238E27FC236}">
              <a16:creationId xmlns:a16="http://schemas.microsoft.com/office/drawing/2014/main" id="{00000000-0008-0000-1200-00004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68" name="AutoShape 10">
          <a:extLst>
            <a:ext uri="{FF2B5EF4-FFF2-40B4-BE49-F238E27FC236}">
              <a16:creationId xmlns:a16="http://schemas.microsoft.com/office/drawing/2014/main" id="{00000000-0008-0000-1200-00004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69" name="AutoShape 8">
          <a:extLst>
            <a:ext uri="{FF2B5EF4-FFF2-40B4-BE49-F238E27FC236}">
              <a16:creationId xmlns:a16="http://schemas.microsoft.com/office/drawing/2014/main" id="{00000000-0008-0000-1200-00004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0" name="AutoShape 6">
          <a:extLst>
            <a:ext uri="{FF2B5EF4-FFF2-40B4-BE49-F238E27FC236}">
              <a16:creationId xmlns:a16="http://schemas.microsoft.com/office/drawing/2014/main" id="{00000000-0008-0000-1200-00004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1" name="AutoShape 4">
          <a:extLst>
            <a:ext uri="{FF2B5EF4-FFF2-40B4-BE49-F238E27FC236}">
              <a16:creationId xmlns:a16="http://schemas.microsoft.com/office/drawing/2014/main" id="{00000000-0008-0000-1200-00004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2" name="AutoShape 2">
          <a:extLst>
            <a:ext uri="{FF2B5EF4-FFF2-40B4-BE49-F238E27FC236}">
              <a16:creationId xmlns:a16="http://schemas.microsoft.com/office/drawing/2014/main" id="{00000000-0008-0000-1200-00004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3" name="AutoShape 16">
          <a:extLst>
            <a:ext uri="{FF2B5EF4-FFF2-40B4-BE49-F238E27FC236}">
              <a16:creationId xmlns:a16="http://schemas.microsoft.com/office/drawing/2014/main" id="{00000000-0008-0000-1200-00004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4" name="AutoShape 14">
          <a:extLst>
            <a:ext uri="{FF2B5EF4-FFF2-40B4-BE49-F238E27FC236}">
              <a16:creationId xmlns:a16="http://schemas.microsoft.com/office/drawing/2014/main" id="{00000000-0008-0000-1200-00004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5" name="AutoShape 12">
          <a:extLst>
            <a:ext uri="{FF2B5EF4-FFF2-40B4-BE49-F238E27FC236}">
              <a16:creationId xmlns:a16="http://schemas.microsoft.com/office/drawing/2014/main" id="{00000000-0008-0000-1200-00004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6" name="AutoShape 10">
          <a:extLst>
            <a:ext uri="{FF2B5EF4-FFF2-40B4-BE49-F238E27FC236}">
              <a16:creationId xmlns:a16="http://schemas.microsoft.com/office/drawing/2014/main" id="{00000000-0008-0000-1200-00004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7" name="AutoShape 8">
          <a:extLst>
            <a:ext uri="{FF2B5EF4-FFF2-40B4-BE49-F238E27FC236}">
              <a16:creationId xmlns:a16="http://schemas.microsoft.com/office/drawing/2014/main" id="{00000000-0008-0000-1200-00004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8" name="AutoShape 6">
          <a:extLst>
            <a:ext uri="{FF2B5EF4-FFF2-40B4-BE49-F238E27FC236}">
              <a16:creationId xmlns:a16="http://schemas.microsoft.com/office/drawing/2014/main" id="{00000000-0008-0000-1200-00004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79" name="AutoShape 4">
          <a:extLst>
            <a:ext uri="{FF2B5EF4-FFF2-40B4-BE49-F238E27FC236}">
              <a16:creationId xmlns:a16="http://schemas.microsoft.com/office/drawing/2014/main" id="{00000000-0008-0000-1200-00004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0" name="AutoShape 2">
          <a:extLst>
            <a:ext uri="{FF2B5EF4-FFF2-40B4-BE49-F238E27FC236}">
              <a16:creationId xmlns:a16="http://schemas.microsoft.com/office/drawing/2014/main" id="{00000000-0008-0000-1200-00005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1" name="AutoShape 16">
          <a:extLst>
            <a:ext uri="{FF2B5EF4-FFF2-40B4-BE49-F238E27FC236}">
              <a16:creationId xmlns:a16="http://schemas.microsoft.com/office/drawing/2014/main" id="{00000000-0008-0000-1200-00005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2" name="AutoShape 14">
          <a:extLst>
            <a:ext uri="{FF2B5EF4-FFF2-40B4-BE49-F238E27FC236}">
              <a16:creationId xmlns:a16="http://schemas.microsoft.com/office/drawing/2014/main" id="{00000000-0008-0000-1200-00005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3" name="AutoShape 12">
          <a:extLst>
            <a:ext uri="{FF2B5EF4-FFF2-40B4-BE49-F238E27FC236}">
              <a16:creationId xmlns:a16="http://schemas.microsoft.com/office/drawing/2014/main" id="{00000000-0008-0000-1200-00005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4" name="AutoShape 10">
          <a:extLst>
            <a:ext uri="{FF2B5EF4-FFF2-40B4-BE49-F238E27FC236}">
              <a16:creationId xmlns:a16="http://schemas.microsoft.com/office/drawing/2014/main" id="{00000000-0008-0000-1200-00005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5" name="AutoShape 8">
          <a:extLst>
            <a:ext uri="{FF2B5EF4-FFF2-40B4-BE49-F238E27FC236}">
              <a16:creationId xmlns:a16="http://schemas.microsoft.com/office/drawing/2014/main" id="{00000000-0008-0000-1200-00005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6" name="AutoShape 6">
          <a:extLst>
            <a:ext uri="{FF2B5EF4-FFF2-40B4-BE49-F238E27FC236}">
              <a16:creationId xmlns:a16="http://schemas.microsoft.com/office/drawing/2014/main" id="{00000000-0008-0000-1200-00005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7" name="AutoShape 4">
          <a:extLst>
            <a:ext uri="{FF2B5EF4-FFF2-40B4-BE49-F238E27FC236}">
              <a16:creationId xmlns:a16="http://schemas.microsoft.com/office/drawing/2014/main" id="{00000000-0008-0000-1200-00005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800100</xdr:colOff>
      <xdr:row>55</xdr:row>
      <xdr:rowOff>66675</xdr:rowOff>
    </xdr:to>
    <xdr:sp macro="" textlink="">
      <xdr:nvSpPr>
        <xdr:cNvPr id="88" name="AutoShape 2">
          <a:extLst>
            <a:ext uri="{FF2B5EF4-FFF2-40B4-BE49-F238E27FC236}">
              <a16:creationId xmlns:a16="http://schemas.microsoft.com/office/drawing/2014/main" id="{00000000-0008-0000-1200-00005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9525</xdr:colOff>
      <xdr:row>58</xdr:row>
      <xdr:rowOff>123825</xdr:rowOff>
    </xdr:to>
    <xdr:sp macro="" textlink="">
      <xdr:nvSpPr>
        <xdr:cNvPr id="17410" name="_x0000_t202" hidden="1">
          <a:extLst>
            <a:ext uri="{FF2B5EF4-FFF2-40B4-BE49-F238E27FC236}">
              <a16:creationId xmlns:a16="http://schemas.microsoft.com/office/drawing/2014/main" id="{00000000-0008-0000-1400-0000024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2" name="AutoShape 2">
          <a:extLst>
            <a:ext uri="{FF2B5EF4-FFF2-40B4-BE49-F238E27FC236}">
              <a16:creationId xmlns:a16="http://schemas.microsoft.com/office/drawing/2014/main" id="{00000000-0008-0000-14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3" name="AutoShape 2">
          <a:extLst>
            <a:ext uri="{FF2B5EF4-FFF2-40B4-BE49-F238E27FC236}">
              <a16:creationId xmlns:a16="http://schemas.microsoft.com/office/drawing/2014/main" id="{00000000-0008-0000-14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4" name="AutoShape 2">
          <a:extLst>
            <a:ext uri="{FF2B5EF4-FFF2-40B4-BE49-F238E27FC236}">
              <a16:creationId xmlns:a16="http://schemas.microsoft.com/office/drawing/2014/main" id="{00000000-0008-0000-14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5" name="AutoShape 2">
          <a:extLst>
            <a:ext uri="{FF2B5EF4-FFF2-40B4-BE49-F238E27FC236}">
              <a16:creationId xmlns:a16="http://schemas.microsoft.com/office/drawing/2014/main" id="{00000000-0008-0000-14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6" name="AutoShape 2">
          <a:extLst>
            <a:ext uri="{FF2B5EF4-FFF2-40B4-BE49-F238E27FC236}">
              <a16:creationId xmlns:a16="http://schemas.microsoft.com/office/drawing/2014/main" id="{00000000-0008-0000-14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7" name="AutoShape 2">
          <a:extLst>
            <a:ext uri="{FF2B5EF4-FFF2-40B4-BE49-F238E27FC236}">
              <a16:creationId xmlns:a16="http://schemas.microsoft.com/office/drawing/2014/main" id="{00000000-0008-0000-14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8" name="AutoShape 2">
          <a:extLst>
            <a:ext uri="{FF2B5EF4-FFF2-40B4-BE49-F238E27FC236}">
              <a16:creationId xmlns:a16="http://schemas.microsoft.com/office/drawing/2014/main" id="{00000000-0008-0000-14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9" name="AutoShape 2">
          <a:extLst>
            <a:ext uri="{FF2B5EF4-FFF2-40B4-BE49-F238E27FC236}">
              <a16:creationId xmlns:a16="http://schemas.microsoft.com/office/drawing/2014/main" id="{00000000-0008-0000-14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10" name="AutoShape 2">
          <a:extLst>
            <a:ext uri="{FF2B5EF4-FFF2-40B4-BE49-F238E27FC236}">
              <a16:creationId xmlns:a16="http://schemas.microsoft.com/office/drawing/2014/main" id="{00000000-0008-0000-14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9525</xdr:colOff>
      <xdr:row>58</xdr:row>
      <xdr:rowOff>123825</xdr:rowOff>
    </xdr:to>
    <xdr:sp macro="" textlink="">
      <xdr:nvSpPr>
        <xdr:cNvPr id="11" name="AutoShape 2">
          <a:extLst>
            <a:ext uri="{FF2B5EF4-FFF2-40B4-BE49-F238E27FC236}">
              <a16:creationId xmlns:a16="http://schemas.microsoft.com/office/drawing/2014/main" id="{00000000-0008-0000-14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461520</xdr:colOff>
      <xdr:row>31</xdr:row>
      <xdr:rowOff>61560</xdr:rowOff>
    </xdr:to>
    <xdr:sp macro="" textlink="">
      <xdr:nvSpPr>
        <xdr:cNvPr id="67" name="CustomShape 1" hidden="1">
          <a:extLst>
            <a:ext uri="{FF2B5EF4-FFF2-40B4-BE49-F238E27FC236}">
              <a16:creationId xmlns:a16="http://schemas.microsoft.com/office/drawing/2014/main" id="{00000000-0008-0000-1500-000043000000}"/>
            </a:ext>
          </a:extLst>
        </xdr:cNvPr>
        <xdr:cNvSpPr/>
      </xdr:nvSpPr>
      <xdr:spPr>
        <a:xfrm>
          <a:off x="0" y="0"/>
          <a:ext cx="10006560" cy="685260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9</xdr:col>
      <xdr:colOff>491400</xdr:colOff>
      <xdr:row>31</xdr:row>
      <xdr:rowOff>63000</xdr:rowOff>
    </xdr:to>
    <xdr:sp macro="" textlink="">
      <xdr:nvSpPr>
        <xdr:cNvPr id="68" name="CustomShape 1" hidden="1">
          <a:extLst>
            <a:ext uri="{FF2B5EF4-FFF2-40B4-BE49-F238E27FC236}">
              <a16:creationId xmlns:a16="http://schemas.microsoft.com/office/drawing/2014/main" id="{00000000-0008-0000-1500-000044000000}"/>
            </a:ext>
          </a:extLst>
        </xdr:cNvPr>
        <xdr:cNvSpPr/>
      </xdr:nvSpPr>
      <xdr:spPr>
        <a:xfrm>
          <a:off x="0" y="0"/>
          <a:ext cx="10036440" cy="68540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9</xdr:col>
      <xdr:colOff>491400</xdr:colOff>
      <xdr:row>31</xdr:row>
      <xdr:rowOff>63000</xdr:rowOff>
    </xdr:to>
    <xdr:sp macro="" textlink="">
      <xdr:nvSpPr>
        <xdr:cNvPr id="69" name="CustomShape 1" hidden="1">
          <a:extLst>
            <a:ext uri="{FF2B5EF4-FFF2-40B4-BE49-F238E27FC236}">
              <a16:creationId xmlns:a16="http://schemas.microsoft.com/office/drawing/2014/main" id="{00000000-0008-0000-1500-000045000000}"/>
            </a:ext>
          </a:extLst>
        </xdr:cNvPr>
        <xdr:cNvSpPr/>
      </xdr:nvSpPr>
      <xdr:spPr>
        <a:xfrm>
          <a:off x="0" y="0"/>
          <a:ext cx="10036440" cy="685404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9</xdr:col>
      <xdr:colOff>504825</xdr:colOff>
      <xdr:row>47</xdr:row>
      <xdr:rowOff>142875</xdr:rowOff>
    </xdr:to>
    <xdr:sp macro="" textlink="">
      <xdr:nvSpPr>
        <xdr:cNvPr id="18436" name="_x0000_t202" hidden="1">
          <a:extLst>
            <a:ext uri="{FF2B5EF4-FFF2-40B4-BE49-F238E27FC236}">
              <a16:creationId xmlns:a16="http://schemas.microsoft.com/office/drawing/2014/main" id="{00000000-0008-0000-1500-0000044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18434" name="_x0000_t202" hidden="1">
          <a:extLst>
            <a:ext uri="{FF2B5EF4-FFF2-40B4-BE49-F238E27FC236}">
              <a16:creationId xmlns:a16="http://schemas.microsoft.com/office/drawing/2014/main" id="{00000000-0008-0000-1500-0000024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2" name="AutoShape 4">
          <a:extLst>
            <a:ext uri="{FF2B5EF4-FFF2-40B4-BE49-F238E27FC236}">
              <a16:creationId xmlns:a16="http://schemas.microsoft.com/office/drawing/2014/main" id="{00000000-0008-0000-15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3" name="AutoShape 2">
          <a:extLst>
            <a:ext uri="{FF2B5EF4-FFF2-40B4-BE49-F238E27FC236}">
              <a16:creationId xmlns:a16="http://schemas.microsoft.com/office/drawing/2014/main" id="{00000000-0008-0000-15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4" name="AutoShape 4">
          <a:extLst>
            <a:ext uri="{FF2B5EF4-FFF2-40B4-BE49-F238E27FC236}">
              <a16:creationId xmlns:a16="http://schemas.microsoft.com/office/drawing/2014/main" id="{00000000-0008-0000-15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5" name="AutoShape 2">
          <a:extLst>
            <a:ext uri="{FF2B5EF4-FFF2-40B4-BE49-F238E27FC236}">
              <a16:creationId xmlns:a16="http://schemas.microsoft.com/office/drawing/2014/main" id="{00000000-0008-0000-15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6" name="AutoShape 4">
          <a:extLst>
            <a:ext uri="{FF2B5EF4-FFF2-40B4-BE49-F238E27FC236}">
              <a16:creationId xmlns:a16="http://schemas.microsoft.com/office/drawing/2014/main" id="{00000000-0008-0000-15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7" name="AutoShape 2">
          <a:extLst>
            <a:ext uri="{FF2B5EF4-FFF2-40B4-BE49-F238E27FC236}">
              <a16:creationId xmlns:a16="http://schemas.microsoft.com/office/drawing/2014/main" id="{00000000-0008-0000-15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8" name="AutoShape 4">
          <a:extLst>
            <a:ext uri="{FF2B5EF4-FFF2-40B4-BE49-F238E27FC236}">
              <a16:creationId xmlns:a16="http://schemas.microsoft.com/office/drawing/2014/main" id="{00000000-0008-0000-15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9" name="AutoShape 2">
          <a:extLst>
            <a:ext uri="{FF2B5EF4-FFF2-40B4-BE49-F238E27FC236}">
              <a16:creationId xmlns:a16="http://schemas.microsoft.com/office/drawing/2014/main" id="{00000000-0008-0000-15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10" name="AutoShape 4">
          <a:extLst>
            <a:ext uri="{FF2B5EF4-FFF2-40B4-BE49-F238E27FC236}">
              <a16:creationId xmlns:a16="http://schemas.microsoft.com/office/drawing/2014/main" id="{00000000-0008-0000-15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11" name="AutoShape 2">
          <a:extLst>
            <a:ext uri="{FF2B5EF4-FFF2-40B4-BE49-F238E27FC236}">
              <a16:creationId xmlns:a16="http://schemas.microsoft.com/office/drawing/2014/main" id="{00000000-0008-0000-15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12" name="AutoShape 4">
          <a:extLst>
            <a:ext uri="{FF2B5EF4-FFF2-40B4-BE49-F238E27FC236}">
              <a16:creationId xmlns:a16="http://schemas.microsoft.com/office/drawing/2014/main" id="{00000000-0008-0000-15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47</xdr:row>
      <xdr:rowOff>142875</xdr:rowOff>
    </xdr:to>
    <xdr:sp macro="" textlink="">
      <xdr:nvSpPr>
        <xdr:cNvPr id="13" name="AutoShape 2">
          <a:extLst>
            <a:ext uri="{FF2B5EF4-FFF2-40B4-BE49-F238E27FC236}">
              <a16:creationId xmlns:a16="http://schemas.microsoft.com/office/drawing/2014/main" id="{00000000-0008-0000-15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14" name="AutoShape 4">
          <a:extLst>
            <a:ext uri="{FF2B5EF4-FFF2-40B4-BE49-F238E27FC236}">
              <a16:creationId xmlns:a16="http://schemas.microsoft.com/office/drawing/2014/main" id="{00000000-0008-0000-1500-00000E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15" name="AutoShape 2">
          <a:extLst>
            <a:ext uri="{FF2B5EF4-FFF2-40B4-BE49-F238E27FC236}">
              <a16:creationId xmlns:a16="http://schemas.microsoft.com/office/drawing/2014/main" id="{00000000-0008-0000-1500-00000F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16" name="AutoShape 4">
          <a:extLst>
            <a:ext uri="{FF2B5EF4-FFF2-40B4-BE49-F238E27FC236}">
              <a16:creationId xmlns:a16="http://schemas.microsoft.com/office/drawing/2014/main" id="{00000000-0008-0000-1500-000010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17" name="AutoShape 2">
          <a:extLst>
            <a:ext uri="{FF2B5EF4-FFF2-40B4-BE49-F238E27FC236}">
              <a16:creationId xmlns:a16="http://schemas.microsoft.com/office/drawing/2014/main" id="{00000000-0008-0000-1500-000011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18" name="AutoShape 4">
          <a:extLst>
            <a:ext uri="{FF2B5EF4-FFF2-40B4-BE49-F238E27FC236}">
              <a16:creationId xmlns:a16="http://schemas.microsoft.com/office/drawing/2014/main" id="{00000000-0008-0000-1500-000012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19" name="AutoShape 2">
          <a:extLst>
            <a:ext uri="{FF2B5EF4-FFF2-40B4-BE49-F238E27FC236}">
              <a16:creationId xmlns:a16="http://schemas.microsoft.com/office/drawing/2014/main" id="{00000000-0008-0000-1500-000013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20" name="AutoShape 4">
          <a:extLst>
            <a:ext uri="{FF2B5EF4-FFF2-40B4-BE49-F238E27FC236}">
              <a16:creationId xmlns:a16="http://schemas.microsoft.com/office/drawing/2014/main" id="{00000000-0008-0000-1500-000014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504825</xdr:colOff>
      <xdr:row>39</xdr:row>
      <xdr:rowOff>142875</xdr:rowOff>
    </xdr:to>
    <xdr:sp macro="" textlink="">
      <xdr:nvSpPr>
        <xdr:cNvPr id="21" name="AutoShape 2">
          <a:extLst>
            <a:ext uri="{FF2B5EF4-FFF2-40B4-BE49-F238E27FC236}">
              <a16:creationId xmlns:a16="http://schemas.microsoft.com/office/drawing/2014/main" id="{00000000-0008-0000-1500-000015000000}"/>
            </a:ext>
          </a:extLst>
        </xdr:cNvPr>
        <xdr:cNvSpPr>
          <a:spLocks noChangeArrowheads="1"/>
        </xdr:cNvSpPr>
      </xdr:nvSpPr>
      <xdr:spPr bwMode="auto">
        <a:xfrm>
          <a:off x="0" y="0"/>
          <a:ext cx="9525000" cy="12706350"/>
        </a:xfrm>
        <a:custGeom>
          <a:avLst/>
          <a:gdLst/>
          <a:ahLst/>
          <a:cxnLst/>
          <a:rect l="0" t="0" r="0" b="0"/>
          <a:pathLst/>
        </a:custGeom>
        <a:solidFill>
          <a:srgbClr val="FFFFFF"/>
        </a:solidFill>
        <a:ln w="9525">
          <a:solidFill>
            <a:srgbClr val="000000"/>
          </a:solidFill>
          <a:round/>
          <a:headEnd/>
          <a:tailEnd/>
        </a:ln>
      </xdr:spPr>
    </xdr:sp>
    <xdr:clientData/>
  </xdr:twoCellAnchor>
  <xdr:twoCellAnchor editAs="oneCell">
    <xdr:from>
      <xdr:col>0</xdr:col>
      <xdr:colOff>476250</xdr:colOff>
      <xdr:row>30</xdr:row>
      <xdr:rowOff>0</xdr:rowOff>
    </xdr:from>
    <xdr:to>
      <xdr:col>5</xdr:col>
      <xdr:colOff>49082</xdr:colOff>
      <xdr:row>56</xdr:row>
      <xdr:rowOff>63288</xdr:rowOff>
    </xdr:to>
    <xdr:pic>
      <xdr:nvPicPr>
        <xdr:cNvPr id="22" name="Imagem 21">
          <a:extLst>
            <a:ext uri="{FF2B5EF4-FFF2-40B4-BE49-F238E27FC236}">
              <a16:creationId xmlns:a16="http://schemas.microsoft.com/office/drawing/2014/main" id="{00000000-0008-0000-1500-000016000000}"/>
            </a:ext>
            <a:ext uri="{147F2762-F138-4A5C-976F-8EAC2B608ADB}">
              <a16:predDERef xmlns:a16="http://schemas.microsoft.com/office/drawing/2014/main" pred="{00000000-0008-0000-1500-000015000000}"/>
            </a:ext>
          </a:extLst>
        </xdr:cNvPr>
        <xdr:cNvPicPr>
          <a:picLocks noChangeAspect="1"/>
        </xdr:cNvPicPr>
      </xdr:nvPicPr>
      <xdr:blipFill>
        <a:blip xmlns:r="http://schemas.openxmlformats.org/officeDocument/2006/relationships" r:embed="rId1"/>
        <a:stretch>
          <a:fillRect/>
        </a:stretch>
      </xdr:blipFill>
      <xdr:spPr>
        <a:xfrm>
          <a:off x="476250" y="9191625"/>
          <a:ext cx="8231057" cy="42733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519840</xdr:colOff>
      <xdr:row>45</xdr:row>
      <xdr:rowOff>119520</xdr:rowOff>
    </xdr:to>
    <xdr:sp macro="" textlink="">
      <xdr:nvSpPr>
        <xdr:cNvPr id="70" name="CustomShape 1" hidden="1">
          <a:extLst>
            <a:ext uri="{FF2B5EF4-FFF2-40B4-BE49-F238E27FC236}">
              <a16:creationId xmlns:a16="http://schemas.microsoft.com/office/drawing/2014/main" id="{00000000-0008-0000-1600-000046000000}"/>
            </a:ext>
          </a:extLst>
        </xdr:cNvPr>
        <xdr:cNvSpPr/>
      </xdr:nvSpPr>
      <xdr:spPr>
        <a:xfrm>
          <a:off x="0" y="0"/>
          <a:ext cx="11641680" cy="1032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13</xdr:col>
      <xdr:colOff>519840</xdr:colOff>
      <xdr:row>45</xdr:row>
      <xdr:rowOff>119520</xdr:rowOff>
    </xdr:to>
    <xdr:sp macro="" textlink="">
      <xdr:nvSpPr>
        <xdr:cNvPr id="71" name="CustomShape 1" hidden="1">
          <a:extLst>
            <a:ext uri="{FF2B5EF4-FFF2-40B4-BE49-F238E27FC236}">
              <a16:creationId xmlns:a16="http://schemas.microsoft.com/office/drawing/2014/main" id="{00000000-0008-0000-1600-000047000000}"/>
            </a:ext>
          </a:extLst>
        </xdr:cNvPr>
        <xdr:cNvSpPr/>
      </xdr:nvSpPr>
      <xdr:spPr>
        <a:xfrm>
          <a:off x="0" y="0"/>
          <a:ext cx="11641680" cy="1032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13</xdr:col>
      <xdr:colOff>519840</xdr:colOff>
      <xdr:row>45</xdr:row>
      <xdr:rowOff>119520</xdr:rowOff>
    </xdr:to>
    <xdr:sp macro="" textlink="">
      <xdr:nvSpPr>
        <xdr:cNvPr id="72" name="CustomShape 1" hidden="1">
          <a:extLst>
            <a:ext uri="{FF2B5EF4-FFF2-40B4-BE49-F238E27FC236}">
              <a16:creationId xmlns:a16="http://schemas.microsoft.com/office/drawing/2014/main" id="{00000000-0008-0000-1600-000048000000}"/>
            </a:ext>
          </a:extLst>
        </xdr:cNvPr>
        <xdr:cNvSpPr/>
      </xdr:nvSpPr>
      <xdr:spPr>
        <a:xfrm>
          <a:off x="0" y="0"/>
          <a:ext cx="11641680" cy="1032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11</xdr:col>
      <xdr:colOff>28575</xdr:colOff>
      <xdr:row>40</xdr:row>
      <xdr:rowOff>152400</xdr:rowOff>
    </xdr:to>
    <xdr:sp macro="" textlink="">
      <xdr:nvSpPr>
        <xdr:cNvPr id="19466" name="_x0000_t202" hidden="1">
          <a:extLst>
            <a:ext uri="{FF2B5EF4-FFF2-40B4-BE49-F238E27FC236}">
              <a16:creationId xmlns:a16="http://schemas.microsoft.com/office/drawing/2014/main" id="{00000000-0008-0000-1600-00000A4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9464" name="_x0000_t202" hidden="1">
          <a:extLst>
            <a:ext uri="{FF2B5EF4-FFF2-40B4-BE49-F238E27FC236}">
              <a16:creationId xmlns:a16="http://schemas.microsoft.com/office/drawing/2014/main" id="{00000000-0008-0000-1600-0000084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9462" name="_x0000_t202" hidden="1">
          <a:extLst>
            <a:ext uri="{FF2B5EF4-FFF2-40B4-BE49-F238E27FC236}">
              <a16:creationId xmlns:a16="http://schemas.microsoft.com/office/drawing/2014/main" id="{00000000-0008-0000-1600-0000064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9460" name="_x0000_t202" hidden="1">
          <a:extLst>
            <a:ext uri="{FF2B5EF4-FFF2-40B4-BE49-F238E27FC236}">
              <a16:creationId xmlns:a16="http://schemas.microsoft.com/office/drawing/2014/main" id="{00000000-0008-0000-1600-0000044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9458" name="_x0000_t202" hidden="1">
          <a:extLst>
            <a:ext uri="{FF2B5EF4-FFF2-40B4-BE49-F238E27FC236}">
              <a16:creationId xmlns:a16="http://schemas.microsoft.com/office/drawing/2014/main" id="{00000000-0008-0000-1600-0000024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 name="AutoShape 10">
          <a:extLst>
            <a:ext uri="{FF2B5EF4-FFF2-40B4-BE49-F238E27FC236}">
              <a16:creationId xmlns:a16="http://schemas.microsoft.com/office/drawing/2014/main" id="{00000000-0008-0000-16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 name="AutoShape 8">
          <a:extLst>
            <a:ext uri="{FF2B5EF4-FFF2-40B4-BE49-F238E27FC236}">
              <a16:creationId xmlns:a16="http://schemas.microsoft.com/office/drawing/2014/main" id="{00000000-0008-0000-16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 name="AutoShape 6">
          <a:extLst>
            <a:ext uri="{FF2B5EF4-FFF2-40B4-BE49-F238E27FC236}">
              <a16:creationId xmlns:a16="http://schemas.microsoft.com/office/drawing/2014/main" id="{00000000-0008-0000-16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5" name="AutoShape 4">
          <a:extLst>
            <a:ext uri="{FF2B5EF4-FFF2-40B4-BE49-F238E27FC236}">
              <a16:creationId xmlns:a16="http://schemas.microsoft.com/office/drawing/2014/main" id="{00000000-0008-0000-16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6" name="AutoShape 2">
          <a:extLst>
            <a:ext uri="{FF2B5EF4-FFF2-40B4-BE49-F238E27FC236}">
              <a16:creationId xmlns:a16="http://schemas.microsoft.com/office/drawing/2014/main" id="{00000000-0008-0000-16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7" name="AutoShape 10">
          <a:extLst>
            <a:ext uri="{FF2B5EF4-FFF2-40B4-BE49-F238E27FC236}">
              <a16:creationId xmlns:a16="http://schemas.microsoft.com/office/drawing/2014/main" id="{00000000-0008-0000-16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8" name="AutoShape 8">
          <a:extLst>
            <a:ext uri="{FF2B5EF4-FFF2-40B4-BE49-F238E27FC236}">
              <a16:creationId xmlns:a16="http://schemas.microsoft.com/office/drawing/2014/main" id="{00000000-0008-0000-16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9" name="AutoShape 6">
          <a:extLst>
            <a:ext uri="{FF2B5EF4-FFF2-40B4-BE49-F238E27FC236}">
              <a16:creationId xmlns:a16="http://schemas.microsoft.com/office/drawing/2014/main" id="{00000000-0008-0000-16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0" name="AutoShape 4">
          <a:extLst>
            <a:ext uri="{FF2B5EF4-FFF2-40B4-BE49-F238E27FC236}">
              <a16:creationId xmlns:a16="http://schemas.microsoft.com/office/drawing/2014/main" id="{00000000-0008-0000-16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1" name="AutoShape 2">
          <a:extLst>
            <a:ext uri="{FF2B5EF4-FFF2-40B4-BE49-F238E27FC236}">
              <a16:creationId xmlns:a16="http://schemas.microsoft.com/office/drawing/2014/main" id="{00000000-0008-0000-16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2" name="AutoShape 10">
          <a:extLst>
            <a:ext uri="{FF2B5EF4-FFF2-40B4-BE49-F238E27FC236}">
              <a16:creationId xmlns:a16="http://schemas.microsoft.com/office/drawing/2014/main" id="{00000000-0008-0000-16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3" name="AutoShape 8">
          <a:extLst>
            <a:ext uri="{FF2B5EF4-FFF2-40B4-BE49-F238E27FC236}">
              <a16:creationId xmlns:a16="http://schemas.microsoft.com/office/drawing/2014/main" id="{00000000-0008-0000-16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4" name="AutoShape 6">
          <a:extLst>
            <a:ext uri="{FF2B5EF4-FFF2-40B4-BE49-F238E27FC236}">
              <a16:creationId xmlns:a16="http://schemas.microsoft.com/office/drawing/2014/main" id="{00000000-0008-0000-16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5" name="AutoShape 4">
          <a:extLst>
            <a:ext uri="{FF2B5EF4-FFF2-40B4-BE49-F238E27FC236}">
              <a16:creationId xmlns:a16="http://schemas.microsoft.com/office/drawing/2014/main" id="{00000000-0008-0000-16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6" name="AutoShape 2">
          <a:extLst>
            <a:ext uri="{FF2B5EF4-FFF2-40B4-BE49-F238E27FC236}">
              <a16:creationId xmlns:a16="http://schemas.microsoft.com/office/drawing/2014/main" id="{00000000-0008-0000-16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7" name="AutoShape 10">
          <a:extLst>
            <a:ext uri="{FF2B5EF4-FFF2-40B4-BE49-F238E27FC236}">
              <a16:creationId xmlns:a16="http://schemas.microsoft.com/office/drawing/2014/main" id="{00000000-0008-0000-16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8" name="AutoShape 8">
          <a:extLst>
            <a:ext uri="{FF2B5EF4-FFF2-40B4-BE49-F238E27FC236}">
              <a16:creationId xmlns:a16="http://schemas.microsoft.com/office/drawing/2014/main" id="{00000000-0008-0000-16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19" name="AutoShape 6">
          <a:extLst>
            <a:ext uri="{FF2B5EF4-FFF2-40B4-BE49-F238E27FC236}">
              <a16:creationId xmlns:a16="http://schemas.microsoft.com/office/drawing/2014/main" id="{00000000-0008-0000-16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0" name="AutoShape 4">
          <a:extLst>
            <a:ext uri="{FF2B5EF4-FFF2-40B4-BE49-F238E27FC236}">
              <a16:creationId xmlns:a16="http://schemas.microsoft.com/office/drawing/2014/main" id="{00000000-0008-0000-16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1" name="AutoShape 2">
          <a:extLst>
            <a:ext uri="{FF2B5EF4-FFF2-40B4-BE49-F238E27FC236}">
              <a16:creationId xmlns:a16="http://schemas.microsoft.com/office/drawing/2014/main" id="{00000000-0008-0000-16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2" name="AutoShape 10">
          <a:extLst>
            <a:ext uri="{FF2B5EF4-FFF2-40B4-BE49-F238E27FC236}">
              <a16:creationId xmlns:a16="http://schemas.microsoft.com/office/drawing/2014/main" id="{00000000-0008-0000-16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3" name="AutoShape 8">
          <a:extLst>
            <a:ext uri="{FF2B5EF4-FFF2-40B4-BE49-F238E27FC236}">
              <a16:creationId xmlns:a16="http://schemas.microsoft.com/office/drawing/2014/main" id="{00000000-0008-0000-16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4" name="AutoShape 6">
          <a:extLst>
            <a:ext uri="{FF2B5EF4-FFF2-40B4-BE49-F238E27FC236}">
              <a16:creationId xmlns:a16="http://schemas.microsoft.com/office/drawing/2014/main" id="{00000000-0008-0000-16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5" name="AutoShape 4">
          <a:extLst>
            <a:ext uri="{FF2B5EF4-FFF2-40B4-BE49-F238E27FC236}">
              <a16:creationId xmlns:a16="http://schemas.microsoft.com/office/drawing/2014/main" id="{00000000-0008-0000-16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6" name="AutoShape 2">
          <a:extLst>
            <a:ext uri="{FF2B5EF4-FFF2-40B4-BE49-F238E27FC236}">
              <a16:creationId xmlns:a16="http://schemas.microsoft.com/office/drawing/2014/main" id="{00000000-0008-0000-16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7" name="AutoShape 10">
          <a:extLst>
            <a:ext uri="{FF2B5EF4-FFF2-40B4-BE49-F238E27FC236}">
              <a16:creationId xmlns:a16="http://schemas.microsoft.com/office/drawing/2014/main" id="{00000000-0008-0000-16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8" name="AutoShape 8">
          <a:extLst>
            <a:ext uri="{FF2B5EF4-FFF2-40B4-BE49-F238E27FC236}">
              <a16:creationId xmlns:a16="http://schemas.microsoft.com/office/drawing/2014/main" id="{00000000-0008-0000-16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29" name="AutoShape 6">
          <a:extLst>
            <a:ext uri="{FF2B5EF4-FFF2-40B4-BE49-F238E27FC236}">
              <a16:creationId xmlns:a16="http://schemas.microsoft.com/office/drawing/2014/main" id="{00000000-0008-0000-16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0" name="AutoShape 4">
          <a:extLst>
            <a:ext uri="{FF2B5EF4-FFF2-40B4-BE49-F238E27FC236}">
              <a16:creationId xmlns:a16="http://schemas.microsoft.com/office/drawing/2014/main" id="{00000000-0008-0000-16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1" name="AutoShape 2">
          <a:extLst>
            <a:ext uri="{FF2B5EF4-FFF2-40B4-BE49-F238E27FC236}">
              <a16:creationId xmlns:a16="http://schemas.microsoft.com/office/drawing/2014/main" id="{00000000-0008-0000-16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2" name="AutoShape 10">
          <a:extLst>
            <a:ext uri="{FF2B5EF4-FFF2-40B4-BE49-F238E27FC236}">
              <a16:creationId xmlns:a16="http://schemas.microsoft.com/office/drawing/2014/main" id="{00000000-0008-0000-16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3" name="AutoShape 8">
          <a:extLst>
            <a:ext uri="{FF2B5EF4-FFF2-40B4-BE49-F238E27FC236}">
              <a16:creationId xmlns:a16="http://schemas.microsoft.com/office/drawing/2014/main" id="{00000000-0008-0000-16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4" name="AutoShape 6">
          <a:extLst>
            <a:ext uri="{FF2B5EF4-FFF2-40B4-BE49-F238E27FC236}">
              <a16:creationId xmlns:a16="http://schemas.microsoft.com/office/drawing/2014/main" id="{00000000-0008-0000-16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5" name="AutoShape 4">
          <a:extLst>
            <a:ext uri="{FF2B5EF4-FFF2-40B4-BE49-F238E27FC236}">
              <a16:creationId xmlns:a16="http://schemas.microsoft.com/office/drawing/2014/main" id="{00000000-0008-0000-16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6" name="AutoShape 2">
          <a:extLst>
            <a:ext uri="{FF2B5EF4-FFF2-40B4-BE49-F238E27FC236}">
              <a16:creationId xmlns:a16="http://schemas.microsoft.com/office/drawing/2014/main" id="{00000000-0008-0000-16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7" name="AutoShape 10">
          <a:extLst>
            <a:ext uri="{FF2B5EF4-FFF2-40B4-BE49-F238E27FC236}">
              <a16:creationId xmlns:a16="http://schemas.microsoft.com/office/drawing/2014/main" id="{00000000-0008-0000-16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8" name="AutoShape 8">
          <a:extLst>
            <a:ext uri="{FF2B5EF4-FFF2-40B4-BE49-F238E27FC236}">
              <a16:creationId xmlns:a16="http://schemas.microsoft.com/office/drawing/2014/main" id="{00000000-0008-0000-16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39" name="AutoShape 6">
          <a:extLst>
            <a:ext uri="{FF2B5EF4-FFF2-40B4-BE49-F238E27FC236}">
              <a16:creationId xmlns:a16="http://schemas.microsoft.com/office/drawing/2014/main" id="{00000000-0008-0000-16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0" name="AutoShape 4">
          <a:extLst>
            <a:ext uri="{FF2B5EF4-FFF2-40B4-BE49-F238E27FC236}">
              <a16:creationId xmlns:a16="http://schemas.microsoft.com/office/drawing/2014/main" id="{00000000-0008-0000-16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1" name="AutoShape 2">
          <a:extLst>
            <a:ext uri="{FF2B5EF4-FFF2-40B4-BE49-F238E27FC236}">
              <a16:creationId xmlns:a16="http://schemas.microsoft.com/office/drawing/2014/main" id="{00000000-0008-0000-1600-00002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2" name="AutoShape 10">
          <a:extLst>
            <a:ext uri="{FF2B5EF4-FFF2-40B4-BE49-F238E27FC236}">
              <a16:creationId xmlns:a16="http://schemas.microsoft.com/office/drawing/2014/main" id="{00000000-0008-0000-16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3" name="AutoShape 8">
          <a:extLst>
            <a:ext uri="{FF2B5EF4-FFF2-40B4-BE49-F238E27FC236}">
              <a16:creationId xmlns:a16="http://schemas.microsoft.com/office/drawing/2014/main" id="{00000000-0008-0000-16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4" name="AutoShape 6">
          <a:extLst>
            <a:ext uri="{FF2B5EF4-FFF2-40B4-BE49-F238E27FC236}">
              <a16:creationId xmlns:a16="http://schemas.microsoft.com/office/drawing/2014/main" id="{00000000-0008-0000-1600-00002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5" name="AutoShape 4">
          <a:extLst>
            <a:ext uri="{FF2B5EF4-FFF2-40B4-BE49-F238E27FC236}">
              <a16:creationId xmlns:a16="http://schemas.microsoft.com/office/drawing/2014/main" id="{00000000-0008-0000-1600-00002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28575</xdr:colOff>
      <xdr:row>40</xdr:row>
      <xdr:rowOff>152400</xdr:rowOff>
    </xdr:to>
    <xdr:sp macro="" textlink="">
      <xdr:nvSpPr>
        <xdr:cNvPr id="46" name="AutoShape 2">
          <a:extLst>
            <a:ext uri="{FF2B5EF4-FFF2-40B4-BE49-F238E27FC236}">
              <a16:creationId xmlns:a16="http://schemas.microsoft.com/office/drawing/2014/main" id="{00000000-0008-0000-1600-00002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885825</xdr:colOff>
      <xdr:row>38</xdr:row>
      <xdr:rowOff>152400</xdr:rowOff>
    </xdr:to>
    <xdr:sp macro="" textlink="">
      <xdr:nvSpPr>
        <xdr:cNvPr id="47" name="AutoShape 10">
          <a:extLst>
            <a:ext uri="{FF2B5EF4-FFF2-40B4-BE49-F238E27FC236}">
              <a16:creationId xmlns:a16="http://schemas.microsoft.com/office/drawing/2014/main" id="{00000000-0008-0000-1600-00002F000000}"/>
            </a:ext>
          </a:extLst>
        </xdr:cNvPr>
        <xdr:cNvSpPr>
          <a:spLocks noChangeArrowheads="1"/>
        </xdr:cNvSpPr>
      </xdr:nvSpPr>
      <xdr:spPr bwMode="auto">
        <a:xfrm>
          <a:off x="0" y="0"/>
          <a:ext cx="9525000" cy="7820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885825</xdr:colOff>
      <xdr:row>38</xdr:row>
      <xdr:rowOff>152400</xdr:rowOff>
    </xdr:to>
    <xdr:sp macro="" textlink="">
      <xdr:nvSpPr>
        <xdr:cNvPr id="48" name="AutoShape 8">
          <a:extLst>
            <a:ext uri="{FF2B5EF4-FFF2-40B4-BE49-F238E27FC236}">
              <a16:creationId xmlns:a16="http://schemas.microsoft.com/office/drawing/2014/main" id="{00000000-0008-0000-1600-000030000000}"/>
            </a:ext>
          </a:extLst>
        </xdr:cNvPr>
        <xdr:cNvSpPr>
          <a:spLocks noChangeArrowheads="1"/>
        </xdr:cNvSpPr>
      </xdr:nvSpPr>
      <xdr:spPr bwMode="auto">
        <a:xfrm>
          <a:off x="0" y="0"/>
          <a:ext cx="9525000" cy="7820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885825</xdr:colOff>
      <xdr:row>38</xdr:row>
      <xdr:rowOff>152400</xdr:rowOff>
    </xdr:to>
    <xdr:sp macro="" textlink="">
      <xdr:nvSpPr>
        <xdr:cNvPr id="49" name="AutoShape 6">
          <a:extLst>
            <a:ext uri="{FF2B5EF4-FFF2-40B4-BE49-F238E27FC236}">
              <a16:creationId xmlns:a16="http://schemas.microsoft.com/office/drawing/2014/main" id="{00000000-0008-0000-1600-000031000000}"/>
            </a:ext>
          </a:extLst>
        </xdr:cNvPr>
        <xdr:cNvSpPr>
          <a:spLocks noChangeArrowheads="1"/>
        </xdr:cNvSpPr>
      </xdr:nvSpPr>
      <xdr:spPr bwMode="auto">
        <a:xfrm>
          <a:off x="0" y="0"/>
          <a:ext cx="9525000" cy="7820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885825</xdr:colOff>
      <xdr:row>38</xdr:row>
      <xdr:rowOff>152400</xdr:rowOff>
    </xdr:to>
    <xdr:sp macro="" textlink="">
      <xdr:nvSpPr>
        <xdr:cNvPr id="50" name="AutoShape 4">
          <a:extLst>
            <a:ext uri="{FF2B5EF4-FFF2-40B4-BE49-F238E27FC236}">
              <a16:creationId xmlns:a16="http://schemas.microsoft.com/office/drawing/2014/main" id="{00000000-0008-0000-1600-000032000000}"/>
            </a:ext>
          </a:extLst>
        </xdr:cNvPr>
        <xdr:cNvSpPr>
          <a:spLocks noChangeArrowheads="1"/>
        </xdr:cNvSpPr>
      </xdr:nvSpPr>
      <xdr:spPr bwMode="auto">
        <a:xfrm>
          <a:off x="0" y="0"/>
          <a:ext cx="9525000" cy="7820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885825</xdr:colOff>
      <xdr:row>38</xdr:row>
      <xdr:rowOff>152400</xdr:rowOff>
    </xdr:to>
    <xdr:sp macro="" textlink="">
      <xdr:nvSpPr>
        <xdr:cNvPr id="51" name="AutoShape 2">
          <a:extLst>
            <a:ext uri="{FF2B5EF4-FFF2-40B4-BE49-F238E27FC236}">
              <a16:creationId xmlns:a16="http://schemas.microsoft.com/office/drawing/2014/main" id="{00000000-0008-0000-1600-000033000000}"/>
            </a:ext>
          </a:extLst>
        </xdr:cNvPr>
        <xdr:cNvSpPr>
          <a:spLocks noChangeArrowheads="1"/>
        </xdr:cNvSpPr>
      </xdr:nvSpPr>
      <xdr:spPr bwMode="auto">
        <a:xfrm>
          <a:off x="0" y="0"/>
          <a:ext cx="9525000" cy="782002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48</xdr:col>
      <xdr:colOff>404280</xdr:colOff>
      <xdr:row>52</xdr:row>
      <xdr:rowOff>32760</xdr:rowOff>
    </xdr:to>
    <xdr:sp macro="" textlink="">
      <xdr:nvSpPr>
        <xdr:cNvPr id="2" name="CustomShape 1" hidden="1">
          <a:extLst>
            <a:ext uri="{FF2B5EF4-FFF2-40B4-BE49-F238E27FC236}">
              <a16:creationId xmlns:a16="http://schemas.microsoft.com/office/drawing/2014/main" id="{00000000-0008-0000-0400-000002000000}"/>
            </a:ext>
          </a:extLst>
        </xdr:cNvPr>
        <xdr:cNvSpPr/>
      </xdr:nvSpPr>
      <xdr:spPr>
        <a:xfrm>
          <a:off x="0" y="0"/>
          <a:ext cx="48353760" cy="855756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504825</xdr:colOff>
      <xdr:row>58</xdr:row>
      <xdr:rowOff>28575</xdr:rowOff>
    </xdr:to>
    <xdr:sp macro="" textlink="">
      <xdr:nvSpPr>
        <xdr:cNvPr id="2052" name="_x0000_t202" hidden="1">
          <a:extLst>
            <a:ext uri="{FF2B5EF4-FFF2-40B4-BE49-F238E27FC236}">
              <a16:creationId xmlns:a16="http://schemas.microsoft.com/office/drawing/2014/main" id="{00000000-0008-0000-0400-000004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2050" name="_x0000_t202" hidden="1">
          <a:extLst>
            <a:ext uri="{FF2B5EF4-FFF2-40B4-BE49-F238E27FC236}">
              <a16:creationId xmlns:a16="http://schemas.microsoft.com/office/drawing/2014/main" id="{00000000-0008-0000-04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3" name="AutoShape 4">
          <a:extLst>
            <a:ext uri="{FF2B5EF4-FFF2-40B4-BE49-F238E27FC236}">
              <a16:creationId xmlns:a16="http://schemas.microsoft.com/office/drawing/2014/main" id="{00000000-0008-0000-04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4" name="AutoShape 2">
          <a:extLst>
            <a:ext uri="{FF2B5EF4-FFF2-40B4-BE49-F238E27FC236}">
              <a16:creationId xmlns:a16="http://schemas.microsoft.com/office/drawing/2014/main" id="{00000000-0008-0000-04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5" name="AutoShape 4">
          <a:extLst>
            <a:ext uri="{FF2B5EF4-FFF2-40B4-BE49-F238E27FC236}">
              <a16:creationId xmlns:a16="http://schemas.microsoft.com/office/drawing/2014/main" id="{00000000-0008-0000-04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6" name="AutoShape 2">
          <a:extLst>
            <a:ext uri="{FF2B5EF4-FFF2-40B4-BE49-F238E27FC236}">
              <a16:creationId xmlns:a16="http://schemas.microsoft.com/office/drawing/2014/main" id="{00000000-0008-0000-04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7" name="AutoShape 4">
          <a:extLst>
            <a:ext uri="{FF2B5EF4-FFF2-40B4-BE49-F238E27FC236}">
              <a16:creationId xmlns:a16="http://schemas.microsoft.com/office/drawing/2014/main" id="{00000000-0008-0000-04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8" name="AutoShape 2">
          <a:extLst>
            <a:ext uri="{FF2B5EF4-FFF2-40B4-BE49-F238E27FC236}">
              <a16:creationId xmlns:a16="http://schemas.microsoft.com/office/drawing/2014/main" id="{00000000-0008-0000-04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9" name="AutoShape 4">
          <a:extLst>
            <a:ext uri="{FF2B5EF4-FFF2-40B4-BE49-F238E27FC236}">
              <a16:creationId xmlns:a16="http://schemas.microsoft.com/office/drawing/2014/main" id="{00000000-0008-0000-04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0" name="AutoShape 2">
          <a:extLst>
            <a:ext uri="{FF2B5EF4-FFF2-40B4-BE49-F238E27FC236}">
              <a16:creationId xmlns:a16="http://schemas.microsoft.com/office/drawing/2014/main" id="{00000000-0008-0000-04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1" name="AutoShape 4">
          <a:extLst>
            <a:ext uri="{FF2B5EF4-FFF2-40B4-BE49-F238E27FC236}">
              <a16:creationId xmlns:a16="http://schemas.microsoft.com/office/drawing/2014/main" id="{00000000-0008-0000-04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2" name="AutoShape 2">
          <a:extLst>
            <a:ext uri="{FF2B5EF4-FFF2-40B4-BE49-F238E27FC236}">
              <a16:creationId xmlns:a16="http://schemas.microsoft.com/office/drawing/2014/main" id="{00000000-0008-0000-04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3" name="AutoShape 4">
          <a:extLst>
            <a:ext uri="{FF2B5EF4-FFF2-40B4-BE49-F238E27FC236}">
              <a16:creationId xmlns:a16="http://schemas.microsoft.com/office/drawing/2014/main" id="{00000000-0008-0000-04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4" name="AutoShape 2">
          <a:extLst>
            <a:ext uri="{FF2B5EF4-FFF2-40B4-BE49-F238E27FC236}">
              <a16:creationId xmlns:a16="http://schemas.microsoft.com/office/drawing/2014/main" id="{00000000-0008-0000-04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5" name="AutoShape 4">
          <a:extLst>
            <a:ext uri="{FF2B5EF4-FFF2-40B4-BE49-F238E27FC236}">
              <a16:creationId xmlns:a16="http://schemas.microsoft.com/office/drawing/2014/main" id="{00000000-0008-0000-04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6" name="AutoShape 2">
          <a:extLst>
            <a:ext uri="{FF2B5EF4-FFF2-40B4-BE49-F238E27FC236}">
              <a16:creationId xmlns:a16="http://schemas.microsoft.com/office/drawing/2014/main" id="{00000000-0008-0000-04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7" name="AutoShape 4">
          <a:extLst>
            <a:ext uri="{FF2B5EF4-FFF2-40B4-BE49-F238E27FC236}">
              <a16:creationId xmlns:a16="http://schemas.microsoft.com/office/drawing/2014/main" id="{00000000-0008-0000-04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8" name="AutoShape 2">
          <a:extLst>
            <a:ext uri="{FF2B5EF4-FFF2-40B4-BE49-F238E27FC236}">
              <a16:creationId xmlns:a16="http://schemas.microsoft.com/office/drawing/2014/main" id="{00000000-0008-0000-04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19" name="AutoShape 4">
          <a:extLst>
            <a:ext uri="{FF2B5EF4-FFF2-40B4-BE49-F238E27FC236}">
              <a16:creationId xmlns:a16="http://schemas.microsoft.com/office/drawing/2014/main" id="{00000000-0008-0000-04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20" name="AutoShape 2">
          <a:extLst>
            <a:ext uri="{FF2B5EF4-FFF2-40B4-BE49-F238E27FC236}">
              <a16:creationId xmlns:a16="http://schemas.microsoft.com/office/drawing/2014/main" id="{00000000-0008-0000-04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21" name="AutoShape 4">
          <a:extLst>
            <a:ext uri="{FF2B5EF4-FFF2-40B4-BE49-F238E27FC236}">
              <a16:creationId xmlns:a16="http://schemas.microsoft.com/office/drawing/2014/main" id="{00000000-0008-0000-04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504825</xdr:colOff>
      <xdr:row>58</xdr:row>
      <xdr:rowOff>28575</xdr:rowOff>
    </xdr:to>
    <xdr:sp macro="" textlink="">
      <xdr:nvSpPr>
        <xdr:cNvPr id="22" name="AutoShape 2">
          <a:extLst>
            <a:ext uri="{FF2B5EF4-FFF2-40B4-BE49-F238E27FC236}">
              <a16:creationId xmlns:a16="http://schemas.microsoft.com/office/drawing/2014/main" id="{00000000-0008-0000-04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508680</xdr:colOff>
      <xdr:row>49</xdr:row>
      <xdr:rowOff>80280</xdr:rowOff>
    </xdr:to>
    <xdr:sp macro="" textlink="">
      <xdr:nvSpPr>
        <xdr:cNvPr id="3" name="CustomShape 1" hidden="1">
          <a:extLst>
            <a:ext uri="{FF2B5EF4-FFF2-40B4-BE49-F238E27FC236}">
              <a16:creationId xmlns:a16="http://schemas.microsoft.com/office/drawing/2014/main" id="{00000000-0008-0000-0500-000003000000}"/>
            </a:ext>
          </a:extLst>
        </xdr:cNvPr>
        <xdr:cNvSpPr/>
      </xdr:nvSpPr>
      <xdr:spPr>
        <a:xfrm>
          <a:off x="0" y="0"/>
          <a:ext cx="11101680" cy="914796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4" name="CustomShape 1" hidden="1">
          <a:extLst>
            <a:ext uri="{FF2B5EF4-FFF2-40B4-BE49-F238E27FC236}">
              <a16:creationId xmlns:a16="http://schemas.microsoft.com/office/drawing/2014/main" id="{00000000-0008-0000-0500-000004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5" name="CustomShape 1" hidden="1">
          <a:extLst>
            <a:ext uri="{FF2B5EF4-FFF2-40B4-BE49-F238E27FC236}">
              <a16:creationId xmlns:a16="http://schemas.microsoft.com/office/drawing/2014/main" id="{00000000-0008-0000-0500-000005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6" name="CustomShape 1" hidden="1">
          <a:extLst>
            <a:ext uri="{FF2B5EF4-FFF2-40B4-BE49-F238E27FC236}">
              <a16:creationId xmlns:a16="http://schemas.microsoft.com/office/drawing/2014/main" id="{00000000-0008-0000-0500-000006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7" name="CustomShape 1" hidden="1">
          <a:extLst>
            <a:ext uri="{FF2B5EF4-FFF2-40B4-BE49-F238E27FC236}">
              <a16:creationId xmlns:a16="http://schemas.microsoft.com/office/drawing/2014/main" id="{00000000-0008-0000-0500-000007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8" name="CustomShape 1" hidden="1">
          <a:extLst>
            <a:ext uri="{FF2B5EF4-FFF2-40B4-BE49-F238E27FC236}">
              <a16:creationId xmlns:a16="http://schemas.microsoft.com/office/drawing/2014/main" id="{00000000-0008-0000-0500-000008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9" name="CustomShape 1" hidden="1">
          <a:extLst>
            <a:ext uri="{FF2B5EF4-FFF2-40B4-BE49-F238E27FC236}">
              <a16:creationId xmlns:a16="http://schemas.microsoft.com/office/drawing/2014/main" id="{00000000-0008-0000-0500-000009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10" name="CustomShape 1" hidden="1">
          <a:extLst>
            <a:ext uri="{FF2B5EF4-FFF2-40B4-BE49-F238E27FC236}">
              <a16:creationId xmlns:a16="http://schemas.microsoft.com/office/drawing/2014/main" id="{00000000-0008-0000-0500-00000A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348840</xdr:colOff>
      <xdr:row>51</xdr:row>
      <xdr:rowOff>25200</xdr:rowOff>
    </xdr:to>
    <xdr:sp macro="" textlink="">
      <xdr:nvSpPr>
        <xdr:cNvPr id="11" name="CustomShape 1" hidden="1">
          <a:extLst>
            <a:ext uri="{FF2B5EF4-FFF2-40B4-BE49-F238E27FC236}">
              <a16:creationId xmlns:a16="http://schemas.microsoft.com/office/drawing/2014/main" id="{00000000-0008-0000-0500-00000B000000}"/>
            </a:ext>
          </a:extLst>
        </xdr:cNvPr>
        <xdr:cNvSpPr/>
      </xdr:nvSpPr>
      <xdr:spPr>
        <a:xfrm>
          <a:off x="0" y="0"/>
          <a:ext cx="10045080" cy="9511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361950</xdr:colOff>
      <xdr:row>51</xdr:row>
      <xdr:rowOff>38100</xdr:rowOff>
    </xdr:to>
    <xdr:sp macro="" textlink="">
      <xdr:nvSpPr>
        <xdr:cNvPr id="3078" name="_x0000_t202" hidden="1">
          <a:extLst>
            <a:ext uri="{FF2B5EF4-FFF2-40B4-BE49-F238E27FC236}">
              <a16:creationId xmlns:a16="http://schemas.microsoft.com/office/drawing/2014/main" id="{00000000-0008-0000-0500-000006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076" name="_x0000_t202" hidden="1">
          <a:extLst>
            <a:ext uri="{FF2B5EF4-FFF2-40B4-BE49-F238E27FC236}">
              <a16:creationId xmlns:a16="http://schemas.microsoft.com/office/drawing/2014/main" id="{00000000-0008-0000-0500-000004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074" name="_x0000_t202" hidden="1">
          <a:extLst>
            <a:ext uri="{FF2B5EF4-FFF2-40B4-BE49-F238E27FC236}">
              <a16:creationId xmlns:a16="http://schemas.microsoft.com/office/drawing/2014/main" id="{00000000-0008-0000-0500-000002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 name="AutoShape 6">
          <a:extLst>
            <a:ext uri="{FF2B5EF4-FFF2-40B4-BE49-F238E27FC236}">
              <a16:creationId xmlns:a16="http://schemas.microsoft.com/office/drawing/2014/main" id="{00000000-0008-0000-05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3" name="AutoShape 2">
          <a:extLst>
            <a:ext uri="{FF2B5EF4-FFF2-40B4-BE49-F238E27FC236}">
              <a16:creationId xmlns:a16="http://schemas.microsoft.com/office/drawing/2014/main" id="{00000000-0008-0000-05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4" name="AutoShape 6">
          <a:extLst>
            <a:ext uri="{FF2B5EF4-FFF2-40B4-BE49-F238E27FC236}">
              <a16:creationId xmlns:a16="http://schemas.microsoft.com/office/drawing/2014/main" id="{00000000-0008-0000-05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5" name="AutoShape 4">
          <a:extLst>
            <a:ext uri="{FF2B5EF4-FFF2-40B4-BE49-F238E27FC236}">
              <a16:creationId xmlns:a16="http://schemas.microsoft.com/office/drawing/2014/main" id="{00000000-0008-0000-05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6" name="AutoShape 2">
          <a:extLst>
            <a:ext uri="{FF2B5EF4-FFF2-40B4-BE49-F238E27FC236}">
              <a16:creationId xmlns:a16="http://schemas.microsoft.com/office/drawing/2014/main" id="{00000000-0008-0000-05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7" name="AutoShape 6">
          <a:extLst>
            <a:ext uri="{FF2B5EF4-FFF2-40B4-BE49-F238E27FC236}">
              <a16:creationId xmlns:a16="http://schemas.microsoft.com/office/drawing/2014/main" id="{00000000-0008-0000-05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8" name="AutoShape 4">
          <a:extLst>
            <a:ext uri="{FF2B5EF4-FFF2-40B4-BE49-F238E27FC236}">
              <a16:creationId xmlns:a16="http://schemas.microsoft.com/office/drawing/2014/main" id="{00000000-0008-0000-05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19" name="AutoShape 2">
          <a:extLst>
            <a:ext uri="{FF2B5EF4-FFF2-40B4-BE49-F238E27FC236}">
              <a16:creationId xmlns:a16="http://schemas.microsoft.com/office/drawing/2014/main" id="{00000000-0008-0000-05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0" name="AutoShape 6">
          <a:extLst>
            <a:ext uri="{FF2B5EF4-FFF2-40B4-BE49-F238E27FC236}">
              <a16:creationId xmlns:a16="http://schemas.microsoft.com/office/drawing/2014/main" id="{00000000-0008-0000-05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1" name="AutoShape 4">
          <a:extLst>
            <a:ext uri="{FF2B5EF4-FFF2-40B4-BE49-F238E27FC236}">
              <a16:creationId xmlns:a16="http://schemas.microsoft.com/office/drawing/2014/main" id="{00000000-0008-0000-05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2" name="AutoShape 2">
          <a:extLst>
            <a:ext uri="{FF2B5EF4-FFF2-40B4-BE49-F238E27FC236}">
              <a16:creationId xmlns:a16="http://schemas.microsoft.com/office/drawing/2014/main" id="{00000000-0008-0000-05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3" name="AutoShape 6">
          <a:extLst>
            <a:ext uri="{FF2B5EF4-FFF2-40B4-BE49-F238E27FC236}">
              <a16:creationId xmlns:a16="http://schemas.microsoft.com/office/drawing/2014/main" id="{00000000-0008-0000-05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4" name="AutoShape 4">
          <a:extLst>
            <a:ext uri="{FF2B5EF4-FFF2-40B4-BE49-F238E27FC236}">
              <a16:creationId xmlns:a16="http://schemas.microsoft.com/office/drawing/2014/main" id="{00000000-0008-0000-05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5" name="AutoShape 2">
          <a:extLst>
            <a:ext uri="{FF2B5EF4-FFF2-40B4-BE49-F238E27FC236}">
              <a16:creationId xmlns:a16="http://schemas.microsoft.com/office/drawing/2014/main" id="{00000000-0008-0000-05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6" name="AutoShape 6">
          <a:extLst>
            <a:ext uri="{FF2B5EF4-FFF2-40B4-BE49-F238E27FC236}">
              <a16:creationId xmlns:a16="http://schemas.microsoft.com/office/drawing/2014/main" id="{00000000-0008-0000-05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7" name="AutoShape 4">
          <a:extLst>
            <a:ext uri="{FF2B5EF4-FFF2-40B4-BE49-F238E27FC236}">
              <a16:creationId xmlns:a16="http://schemas.microsoft.com/office/drawing/2014/main" id="{00000000-0008-0000-05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8" name="AutoShape 2">
          <a:extLst>
            <a:ext uri="{FF2B5EF4-FFF2-40B4-BE49-F238E27FC236}">
              <a16:creationId xmlns:a16="http://schemas.microsoft.com/office/drawing/2014/main" id="{00000000-0008-0000-05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29" name="AutoShape 6">
          <a:extLst>
            <a:ext uri="{FF2B5EF4-FFF2-40B4-BE49-F238E27FC236}">
              <a16:creationId xmlns:a16="http://schemas.microsoft.com/office/drawing/2014/main" id="{00000000-0008-0000-05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0" name="AutoShape 4">
          <a:extLst>
            <a:ext uri="{FF2B5EF4-FFF2-40B4-BE49-F238E27FC236}">
              <a16:creationId xmlns:a16="http://schemas.microsoft.com/office/drawing/2014/main" id="{00000000-0008-0000-05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1" name="AutoShape 2">
          <a:extLst>
            <a:ext uri="{FF2B5EF4-FFF2-40B4-BE49-F238E27FC236}">
              <a16:creationId xmlns:a16="http://schemas.microsoft.com/office/drawing/2014/main" id="{00000000-0008-0000-05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2" name="AutoShape 6">
          <a:extLst>
            <a:ext uri="{FF2B5EF4-FFF2-40B4-BE49-F238E27FC236}">
              <a16:creationId xmlns:a16="http://schemas.microsoft.com/office/drawing/2014/main" id="{00000000-0008-0000-05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3" name="AutoShape 4">
          <a:extLst>
            <a:ext uri="{FF2B5EF4-FFF2-40B4-BE49-F238E27FC236}">
              <a16:creationId xmlns:a16="http://schemas.microsoft.com/office/drawing/2014/main" id="{00000000-0008-0000-05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4" name="AutoShape 2">
          <a:extLst>
            <a:ext uri="{FF2B5EF4-FFF2-40B4-BE49-F238E27FC236}">
              <a16:creationId xmlns:a16="http://schemas.microsoft.com/office/drawing/2014/main" id="{00000000-0008-0000-05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5" name="AutoShape 6">
          <a:extLst>
            <a:ext uri="{FF2B5EF4-FFF2-40B4-BE49-F238E27FC236}">
              <a16:creationId xmlns:a16="http://schemas.microsoft.com/office/drawing/2014/main" id="{00000000-0008-0000-05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6" name="AutoShape 4">
          <a:extLst>
            <a:ext uri="{FF2B5EF4-FFF2-40B4-BE49-F238E27FC236}">
              <a16:creationId xmlns:a16="http://schemas.microsoft.com/office/drawing/2014/main" id="{00000000-0008-0000-05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7" name="AutoShape 2">
          <a:extLst>
            <a:ext uri="{FF2B5EF4-FFF2-40B4-BE49-F238E27FC236}">
              <a16:creationId xmlns:a16="http://schemas.microsoft.com/office/drawing/2014/main" id="{00000000-0008-0000-05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8" name="AutoShape 6">
          <a:extLst>
            <a:ext uri="{FF2B5EF4-FFF2-40B4-BE49-F238E27FC236}">
              <a16:creationId xmlns:a16="http://schemas.microsoft.com/office/drawing/2014/main" id="{00000000-0008-0000-05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39" name="AutoShape 4">
          <a:extLst>
            <a:ext uri="{FF2B5EF4-FFF2-40B4-BE49-F238E27FC236}">
              <a16:creationId xmlns:a16="http://schemas.microsoft.com/office/drawing/2014/main" id="{00000000-0008-0000-05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361950</xdr:colOff>
      <xdr:row>51</xdr:row>
      <xdr:rowOff>38100</xdr:rowOff>
    </xdr:to>
    <xdr:sp macro="" textlink="">
      <xdr:nvSpPr>
        <xdr:cNvPr id="40" name="AutoShape 2">
          <a:extLst>
            <a:ext uri="{FF2B5EF4-FFF2-40B4-BE49-F238E27FC236}">
              <a16:creationId xmlns:a16="http://schemas.microsoft.com/office/drawing/2014/main" id="{00000000-0008-0000-05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118080</xdr:colOff>
      <xdr:row>53</xdr:row>
      <xdr:rowOff>118800</xdr:rowOff>
    </xdr:to>
    <xdr:sp macro="" textlink="">
      <xdr:nvSpPr>
        <xdr:cNvPr id="12" name="CustomShape 1" hidden="1">
          <a:extLst>
            <a:ext uri="{FF2B5EF4-FFF2-40B4-BE49-F238E27FC236}">
              <a16:creationId xmlns:a16="http://schemas.microsoft.com/office/drawing/2014/main" id="{00000000-0008-0000-0600-00000C000000}"/>
            </a:ext>
          </a:extLst>
        </xdr:cNvPr>
        <xdr:cNvSpPr/>
      </xdr:nvSpPr>
      <xdr:spPr>
        <a:xfrm>
          <a:off x="0" y="0"/>
          <a:ext cx="10593000" cy="791244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11</xdr:col>
      <xdr:colOff>119880</xdr:colOff>
      <xdr:row>53</xdr:row>
      <xdr:rowOff>101160</xdr:rowOff>
    </xdr:to>
    <xdr:sp macro="" textlink="">
      <xdr:nvSpPr>
        <xdr:cNvPr id="13" name="CustomShape 1" hidden="1">
          <a:extLst>
            <a:ext uri="{FF2B5EF4-FFF2-40B4-BE49-F238E27FC236}">
              <a16:creationId xmlns:a16="http://schemas.microsoft.com/office/drawing/2014/main" id="{00000000-0008-0000-0600-00000D000000}"/>
            </a:ext>
          </a:extLst>
        </xdr:cNvPr>
        <xdr:cNvSpPr/>
      </xdr:nvSpPr>
      <xdr:spPr>
        <a:xfrm>
          <a:off x="0" y="0"/>
          <a:ext cx="10060560" cy="78948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11</xdr:col>
      <xdr:colOff>119880</xdr:colOff>
      <xdr:row>53</xdr:row>
      <xdr:rowOff>101160</xdr:rowOff>
    </xdr:to>
    <xdr:sp macro="" textlink="">
      <xdr:nvSpPr>
        <xdr:cNvPr id="14" name="CustomShape 1" hidden="1">
          <a:extLst>
            <a:ext uri="{FF2B5EF4-FFF2-40B4-BE49-F238E27FC236}">
              <a16:creationId xmlns:a16="http://schemas.microsoft.com/office/drawing/2014/main" id="{00000000-0008-0000-0600-00000E000000}"/>
            </a:ext>
          </a:extLst>
        </xdr:cNvPr>
        <xdr:cNvSpPr/>
      </xdr:nvSpPr>
      <xdr:spPr>
        <a:xfrm>
          <a:off x="0" y="0"/>
          <a:ext cx="10060560" cy="78948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11</xdr:col>
      <xdr:colOff>119880</xdr:colOff>
      <xdr:row>53</xdr:row>
      <xdr:rowOff>101160</xdr:rowOff>
    </xdr:to>
    <xdr:sp macro="" textlink="">
      <xdr:nvSpPr>
        <xdr:cNvPr id="15" name="CustomShape 1" hidden="1">
          <a:extLst>
            <a:ext uri="{FF2B5EF4-FFF2-40B4-BE49-F238E27FC236}">
              <a16:creationId xmlns:a16="http://schemas.microsoft.com/office/drawing/2014/main" id="{00000000-0008-0000-0600-00000F000000}"/>
            </a:ext>
          </a:extLst>
        </xdr:cNvPr>
        <xdr:cNvSpPr/>
      </xdr:nvSpPr>
      <xdr:spPr>
        <a:xfrm>
          <a:off x="0" y="0"/>
          <a:ext cx="10060560" cy="78948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11</xdr:col>
      <xdr:colOff>119880</xdr:colOff>
      <xdr:row>53</xdr:row>
      <xdr:rowOff>101160</xdr:rowOff>
    </xdr:to>
    <xdr:sp macro="" textlink="">
      <xdr:nvSpPr>
        <xdr:cNvPr id="16" name="CustomShape 1" hidden="1">
          <a:extLst>
            <a:ext uri="{FF2B5EF4-FFF2-40B4-BE49-F238E27FC236}">
              <a16:creationId xmlns:a16="http://schemas.microsoft.com/office/drawing/2014/main" id="{00000000-0008-0000-0600-000010000000}"/>
            </a:ext>
          </a:extLst>
        </xdr:cNvPr>
        <xdr:cNvSpPr/>
      </xdr:nvSpPr>
      <xdr:spPr>
        <a:xfrm>
          <a:off x="0" y="0"/>
          <a:ext cx="10060560" cy="78948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11</xdr:col>
      <xdr:colOff>133350</xdr:colOff>
      <xdr:row>63</xdr:row>
      <xdr:rowOff>114300</xdr:rowOff>
    </xdr:to>
    <xdr:sp macro="" textlink="">
      <xdr:nvSpPr>
        <xdr:cNvPr id="4106" name="_x0000_t202" hidden="1">
          <a:extLst>
            <a:ext uri="{FF2B5EF4-FFF2-40B4-BE49-F238E27FC236}">
              <a16:creationId xmlns:a16="http://schemas.microsoft.com/office/drawing/2014/main" id="{00000000-0008-0000-0600-00000A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104" name="_x0000_t202" hidden="1">
          <a:extLst>
            <a:ext uri="{FF2B5EF4-FFF2-40B4-BE49-F238E27FC236}">
              <a16:creationId xmlns:a16="http://schemas.microsoft.com/office/drawing/2014/main" id="{00000000-0008-0000-0600-000008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102" name="_x0000_t202" hidden="1">
          <a:extLst>
            <a:ext uri="{FF2B5EF4-FFF2-40B4-BE49-F238E27FC236}">
              <a16:creationId xmlns:a16="http://schemas.microsoft.com/office/drawing/2014/main" id="{00000000-0008-0000-0600-000006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100" name="_x0000_t202" hidden="1">
          <a:extLst>
            <a:ext uri="{FF2B5EF4-FFF2-40B4-BE49-F238E27FC236}">
              <a16:creationId xmlns:a16="http://schemas.microsoft.com/office/drawing/2014/main" id="{00000000-0008-0000-0600-000004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098" name="_x0000_t202" hidden="1">
          <a:extLst>
            <a:ext uri="{FF2B5EF4-FFF2-40B4-BE49-F238E27FC236}">
              <a16:creationId xmlns:a16="http://schemas.microsoft.com/office/drawing/2014/main" id="{00000000-0008-0000-0600-000002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 name="AutoShape 10">
          <a:extLst>
            <a:ext uri="{FF2B5EF4-FFF2-40B4-BE49-F238E27FC236}">
              <a16:creationId xmlns:a16="http://schemas.microsoft.com/office/drawing/2014/main" id="{00000000-0008-0000-06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 name="AutoShape 8">
          <a:extLst>
            <a:ext uri="{FF2B5EF4-FFF2-40B4-BE49-F238E27FC236}">
              <a16:creationId xmlns:a16="http://schemas.microsoft.com/office/drawing/2014/main" id="{00000000-0008-0000-06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 name="AutoShape 6">
          <a:extLst>
            <a:ext uri="{FF2B5EF4-FFF2-40B4-BE49-F238E27FC236}">
              <a16:creationId xmlns:a16="http://schemas.microsoft.com/office/drawing/2014/main" id="{00000000-0008-0000-06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6" name="AutoShape 2">
          <a:extLst>
            <a:ext uri="{FF2B5EF4-FFF2-40B4-BE49-F238E27FC236}">
              <a16:creationId xmlns:a16="http://schemas.microsoft.com/office/drawing/2014/main" id="{00000000-0008-0000-06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7" name="AutoShape 10">
          <a:extLst>
            <a:ext uri="{FF2B5EF4-FFF2-40B4-BE49-F238E27FC236}">
              <a16:creationId xmlns:a16="http://schemas.microsoft.com/office/drawing/2014/main" id="{00000000-0008-0000-06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8" name="AutoShape 8">
          <a:extLst>
            <a:ext uri="{FF2B5EF4-FFF2-40B4-BE49-F238E27FC236}">
              <a16:creationId xmlns:a16="http://schemas.microsoft.com/office/drawing/2014/main" id="{00000000-0008-0000-06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9" name="AutoShape 6">
          <a:extLst>
            <a:ext uri="{FF2B5EF4-FFF2-40B4-BE49-F238E27FC236}">
              <a16:creationId xmlns:a16="http://schemas.microsoft.com/office/drawing/2014/main" id="{00000000-0008-0000-06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10" name="AutoShape 4">
          <a:extLst>
            <a:ext uri="{FF2B5EF4-FFF2-40B4-BE49-F238E27FC236}">
              <a16:creationId xmlns:a16="http://schemas.microsoft.com/office/drawing/2014/main" id="{00000000-0008-0000-06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11" name="AutoShape 2">
          <a:extLst>
            <a:ext uri="{FF2B5EF4-FFF2-40B4-BE49-F238E27FC236}">
              <a16:creationId xmlns:a16="http://schemas.microsoft.com/office/drawing/2014/main" id="{00000000-0008-0000-06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17" name="AutoShape 10">
          <a:extLst>
            <a:ext uri="{FF2B5EF4-FFF2-40B4-BE49-F238E27FC236}">
              <a16:creationId xmlns:a16="http://schemas.microsoft.com/office/drawing/2014/main" id="{00000000-0008-0000-06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18" name="AutoShape 8">
          <a:extLst>
            <a:ext uri="{FF2B5EF4-FFF2-40B4-BE49-F238E27FC236}">
              <a16:creationId xmlns:a16="http://schemas.microsoft.com/office/drawing/2014/main" id="{00000000-0008-0000-06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19" name="AutoShape 6">
          <a:extLst>
            <a:ext uri="{FF2B5EF4-FFF2-40B4-BE49-F238E27FC236}">
              <a16:creationId xmlns:a16="http://schemas.microsoft.com/office/drawing/2014/main" id="{00000000-0008-0000-06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0" name="AutoShape 4">
          <a:extLst>
            <a:ext uri="{FF2B5EF4-FFF2-40B4-BE49-F238E27FC236}">
              <a16:creationId xmlns:a16="http://schemas.microsoft.com/office/drawing/2014/main" id="{00000000-0008-0000-06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1" name="AutoShape 2">
          <a:extLst>
            <a:ext uri="{FF2B5EF4-FFF2-40B4-BE49-F238E27FC236}">
              <a16:creationId xmlns:a16="http://schemas.microsoft.com/office/drawing/2014/main" id="{00000000-0008-0000-06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2" name="AutoShape 10">
          <a:extLst>
            <a:ext uri="{FF2B5EF4-FFF2-40B4-BE49-F238E27FC236}">
              <a16:creationId xmlns:a16="http://schemas.microsoft.com/office/drawing/2014/main" id="{00000000-0008-0000-06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3" name="AutoShape 8">
          <a:extLst>
            <a:ext uri="{FF2B5EF4-FFF2-40B4-BE49-F238E27FC236}">
              <a16:creationId xmlns:a16="http://schemas.microsoft.com/office/drawing/2014/main" id="{00000000-0008-0000-06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4" name="AutoShape 6">
          <a:extLst>
            <a:ext uri="{FF2B5EF4-FFF2-40B4-BE49-F238E27FC236}">
              <a16:creationId xmlns:a16="http://schemas.microsoft.com/office/drawing/2014/main" id="{00000000-0008-0000-06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5" name="AutoShape 4">
          <a:extLst>
            <a:ext uri="{FF2B5EF4-FFF2-40B4-BE49-F238E27FC236}">
              <a16:creationId xmlns:a16="http://schemas.microsoft.com/office/drawing/2014/main" id="{00000000-0008-0000-06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6" name="AutoShape 2">
          <a:extLst>
            <a:ext uri="{FF2B5EF4-FFF2-40B4-BE49-F238E27FC236}">
              <a16:creationId xmlns:a16="http://schemas.microsoft.com/office/drawing/2014/main" id="{00000000-0008-0000-06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7" name="AutoShape 10">
          <a:extLst>
            <a:ext uri="{FF2B5EF4-FFF2-40B4-BE49-F238E27FC236}">
              <a16:creationId xmlns:a16="http://schemas.microsoft.com/office/drawing/2014/main" id="{00000000-0008-0000-06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8" name="AutoShape 8">
          <a:extLst>
            <a:ext uri="{FF2B5EF4-FFF2-40B4-BE49-F238E27FC236}">
              <a16:creationId xmlns:a16="http://schemas.microsoft.com/office/drawing/2014/main" id="{00000000-0008-0000-06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29" name="AutoShape 6">
          <a:extLst>
            <a:ext uri="{FF2B5EF4-FFF2-40B4-BE49-F238E27FC236}">
              <a16:creationId xmlns:a16="http://schemas.microsoft.com/office/drawing/2014/main" id="{00000000-0008-0000-06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0" name="AutoShape 4">
          <a:extLst>
            <a:ext uri="{FF2B5EF4-FFF2-40B4-BE49-F238E27FC236}">
              <a16:creationId xmlns:a16="http://schemas.microsoft.com/office/drawing/2014/main" id="{00000000-0008-0000-06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1" name="AutoShape 2">
          <a:extLst>
            <a:ext uri="{FF2B5EF4-FFF2-40B4-BE49-F238E27FC236}">
              <a16:creationId xmlns:a16="http://schemas.microsoft.com/office/drawing/2014/main" id="{00000000-0008-0000-06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2" name="AutoShape 10">
          <a:extLst>
            <a:ext uri="{FF2B5EF4-FFF2-40B4-BE49-F238E27FC236}">
              <a16:creationId xmlns:a16="http://schemas.microsoft.com/office/drawing/2014/main" id="{00000000-0008-0000-06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3" name="AutoShape 8">
          <a:extLst>
            <a:ext uri="{FF2B5EF4-FFF2-40B4-BE49-F238E27FC236}">
              <a16:creationId xmlns:a16="http://schemas.microsoft.com/office/drawing/2014/main" id="{00000000-0008-0000-06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4" name="AutoShape 6">
          <a:extLst>
            <a:ext uri="{FF2B5EF4-FFF2-40B4-BE49-F238E27FC236}">
              <a16:creationId xmlns:a16="http://schemas.microsoft.com/office/drawing/2014/main" id="{00000000-0008-0000-06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5" name="AutoShape 4">
          <a:extLst>
            <a:ext uri="{FF2B5EF4-FFF2-40B4-BE49-F238E27FC236}">
              <a16:creationId xmlns:a16="http://schemas.microsoft.com/office/drawing/2014/main" id="{00000000-0008-0000-06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6" name="AutoShape 2">
          <a:extLst>
            <a:ext uri="{FF2B5EF4-FFF2-40B4-BE49-F238E27FC236}">
              <a16:creationId xmlns:a16="http://schemas.microsoft.com/office/drawing/2014/main" id="{00000000-0008-0000-06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7" name="AutoShape 10">
          <a:extLst>
            <a:ext uri="{FF2B5EF4-FFF2-40B4-BE49-F238E27FC236}">
              <a16:creationId xmlns:a16="http://schemas.microsoft.com/office/drawing/2014/main" id="{00000000-0008-0000-06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8" name="AutoShape 8">
          <a:extLst>
            <a:ext uri="{FF2B5EF4-FFF2-40B4-BE49-F238E27FC236}">
              <a16:creationId xmlns:a16="http://schemas.microsoft.com/office/drawing/2014/main" id="{00000000-0008-0000-06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39" name="AutoShape 6">
          <a:extLst>
            <a:ext uri="{FF2B5EF4-FFF2-40B4-BE49-F238E27FC236}">
              <a16:creationId xmlns:a16="http://schemas.microsoft.com/office/drawing/2014/main" id="{00000000-0008-0000-06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0" name="AutoShape 4">
          <a:extLst>
            <a:ext uri="{FF2B5EF4-FFF2-40B4-BE49-F238E27FC236}">
              <a16:creationId xmlns:a16="http://schemas.microsoft.com/office/drawing/2014/main" id="{00000000-0008-0000-06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1" name="AutoShape 2">
          <a:extLst>
            <a:ext uri="{FF2B5EF4-FFF2-40B4-BE49-F238E27FC236}">
              <a16:creationId xmlns:a16="http://schemas.microsoft.com/office/drawing/2014/main" id="{00000000-0008-0000-0600-00002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2" name="AutoShape 10">
          <a:extLst>
            <a:ext uri="{FF2B5EF4-FFF2-40B4-BE49-F238E27FC236}">
              <a16:creationId xmlns:a16="http://schemas.microsoft.com/office/drawing/2014/main" id="{00000000-0008-0000-06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3" name="AutoShape 8">
          <a:extLst>
            <a:ext uri="{FF2B5EF4-FFF2-40B4-BE49-F238E27FC236}">
              <a16:creationId xmlns:a16="http://schemas.microsoft.com/office/drawing/2014/main" id="{00000000-0008-0000-06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4" name="AutoShape 6">
          <a:extLst>
            <a:ext uri="{FF2B5EF4-FFF2-40B4-BE49-F238E27FC236}">
              <a16:creationId xmlns:a16="http://schemas.microsoft.com/office/drawing/2014/main" id="{00000000-0008-0000-0600-00002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5" name="AutoShape 4">
          <a:extLst>
            <a:ext uri="{FF2B5EF4-FFF2-40B4-BE49-F238E27FC236}">
              <a16:creationId xmlns:a16="http://schemas.microsoft.com/office/drawing/2014/main" id="{00000000-0008-0000-0600-00002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6" name="AutoShape 2">
          <a:extLst>
            <a:ext uri="{FF2B5EF4-FFF2-40B4-BE49-F238E27FC236}">
              <a16:creationId xmlns:a16="http://schemas.microsoft.com/office/drawing/2014/main" id="{00000000-0008-0000-0600-00002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7" name="AutoShape 10">
          <a:extLst>
            <a:ext uri="{FF2B5EF4-FFF2-40B4-BE49-F238E27FC236}">
              <a16:creationId xmlns:a16="http://schemas.microsoft.com/office/drawing/2014/main" id="{00000000-0008-0000-0600-00002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8" name="AutoShape 8">
          <a:extLst>
            <a:ext uri="{FF2B5EF4-FFF2-40B4-BE49-F238E27FC236}">
              <a16:creationId xmlns:a16="http://schemas.microsoft.com/office/drawing/2014/main" id="{00000000-0008-0000-0600-00003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49" name="AutoShape 6">
          <a:extLst>
            <a:ext uri="{FF2B5EF4-FFF2-40B4-BE49-F238E27FC236}">
              <a16:creationId xmlns:a16="http://schemas.microsoft.com/office/drawing/2014/main" id="{00000000-0008-0000-0600-00003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0" name="AutoShape 4">
          <a:extLst>
            <a:ext uri="{FF2B5EF4-FFF2-40B4-BE49-F238E27FC236}">
              <a16:creationId xmlns:a16="http://schemas.microsoft.com/office/drawing/2014/main" id="{00000000-0008-0000-0600-00003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1" name="AutoShape 2">
          <a:extLst>
            <a:ext uri="{FF2B5EF4-FFF2-40B4-BE49-F238E27FC236}">
              <a16:creationId xmlns:a16="http://schemas.microsoft.com/office/drawing/2014/main" id="{00000000-0008-0000-0600-00003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2" name="AutoShape 10">
          <a:extLst>
            <a:ext uri="{FF2B5EF4-FFF2-40B4-BE49-F238E27FC236}">
              <a16:creationId xmlns:a16="http://schemas.microsoft.com/office/drawing/2014/main" id="{00000000-0008-0000-0600-00003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3" name="AutoShape 8">
          <a:extLst>
            <a:ext uri="{FF2B5EF4-FFF2-40B4-BE49-F238E27FC236}">
              <a16:creationId xmlns:a16="http://schemas.microsoft.com/office/drawing/2014/main" id="{00000000-0008-0000-0600-00003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4" name="AutoShape 6">
          <a:extLst>
            <a:ext uri="{FF2B5EF4-FFF2-40B4-BE49-F238E27FC236}">
              <a16:creationId xmlns:a16="http://schemas.microsoft.com/office/drawing/2014/main" id="{00000000-0008-0000-0600-00003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5" name="AutoShape 4">
          <a:extLst>
            <a:ext uri="{FF2B5EF4-FFF2-40B4-BE49-F238E27FC236}">
              <a16:creationId xmlns:a16="http://schemas.microsoft.com/office/drawing/2014/main" id="{00000000-0008-0000-0600-00003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11</xdr:col>
      <xdr:colOff>133350</xdr:colOff>
      <xdr:row>63</xdr:row>
      <xdr:rowOff>114300</xdr:rowOff>
    </xdr:to>
    <xdr:sp macro="" textlink="">
      <xdr:nvSpPr>
        <xdr:cNvPr id="56" name="AutoShape 2">
          <a:extLst>
            <a:ext uri="{FF2B5EF4-FFF2-40B4-BE49-F238E27FC236}">
              <a16:creationId xmlns:a16="http://schemas.microsoft.com/office/drawing/2014/main" id="{00000000-0008-0000-0600-00003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1356480</xdr:colOff>
      <xdr:row>51</xdr:row>
      <xdr:rowOff>51480</xdr:rowOff>
    </xdr:to>
    <xdr:sp macro="" textlink="">
      <xdr:nvSpPr>
        <xdr:cNvPr id="17" name="CustomShape 1" hidden="1">
          <a:extLst>
            <a:ext uri="{FF2B5EF4-FFF2-40B4-BE49-F238E27FC236}">
              <a16:creationId xmlns:a16="http://schemas.microsoft.com/office/drawing/2014/main" id="{00000000-0008-0000-0700-000011000000}"/>
            </a:ext>
          </a:extLst>
        </xdr:cNvPr>
        <xdr:cNvSpPr/>
      </xdr:nvSpPr>
      <xdr:spPr>
        <a:xfrm>
          <a:off x="0" y="0"/>
          <a:ext cx="10128960" cy="1009080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8</xdr:col>
      <xdr:colOff>1224720</xdr:colOff>
      <xdr:row>48</xdr:row>
      <xdr:rowOff>43560</xdr:rowOff>
    </xdr:to>
    <xdr:sp macro="" textlink="">
      <xdr:nvSpPr>
        <xdr:cNvPr id="18" name="CustomShape 1" hidden="1">
          <a:extLst>
            <a:ext uri="{FF2B5EF4-FFF2-40B4-BE49-F238E27FC236}">
              <a16:creationId xmlns:a16="http://schemas.microsoft.com/office/drawing/2014/main" id="{00000000-0008-0000-0700-000012000000}"/>
            </a:ext>
          </a:extLst>
        </xdr:cNvPr>
        <xdr:cNvSpPr/>
      </xdr:nvSpPr>
      <xdr:spPr>
        <a:xfrm>
          <a:off x="0" y="0"/>
          <a:ext cx="999720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8</xdr:col>
      <xdr:colOff>1224720</xdr:colOff>
      <xdr:row>48</xdr:row>
      <xdr:rowOff>43560</xdr:rowOff>
    </xdr:to>
    <xdr:sp macro="" textlink="">
      <xdr:nvSpPr>
        <xdr:cNvPr id="19" name="CustomShape 1" hidden="1">
          <a:extLst>
            <a:ext uri="{FF2B5EF4-FFF2-40B4-BE49-F238E27FC236}">
              <a16:creationId xmlns:a16="http://schemas.microsoft.com/office/drawing/2014/main" id="{00000000-0008-0000-0700-000013000000}"/>
            </a:ext>
          </a:extLst>
        </xdr:cNvPr>
        <xdr:cNvSpPr/>
      </xdr:nvSpPr>
      <xdr:spPr>
        <a:xfrm>
          <a:off x="0" y="0"/>
          <a:ext cx="999720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8</xdr:col>
      <xdr:colOff>1238250</xdr:colOff>
      <xdr:row>48</xdr:row>
      <xdr:rowOff>57150</xdr:rowOff>
    </xdr:to>
    <xdr:sp macro="" textlink="">
      <xdr:nvSpPr>
        <xdr:cNvPr id="5124" name="_x0000_t202" hidden="1">
          <a:extLst>
            <a:ext uri="{FF2B5EF4-FFF2-40B4-BE49-F238E27FC236}">
              <a16:creationId xmlns:a16="http://schemas.microsoft.com/office/drawing/2014/main" id="{00000000-0008-0000-0700-0000041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5122" name="_x0000_t202" hidden="1">
          <a:extLst>
            <a:ext uri="{FF2B5EF4-FFF2-40B4-BE49-F238E27FC236}">
              <a16:creationId xmlns:a16="http://schemas.microsoft.com/office/drawing/2014/main" id="{00000000-0008-0000-0700-0000021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2" name="AutoShape 4">
          <a:extLst>
            <a:ext uri="{FF2B5EF4-FFF2-40B4-BE49-F238E27FC236}">
              <a16:creationId xmlns:a16="http://schemas.microsoft.com/office/drawing/2014/main" id="{00000000-0008-0000-07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3" name="AutoShape 2">
          <a:extLst>
            <a:ext uri="{FF2B5EF4-FFF2-40B4-BE49-F238E27FC236}">
              <a16:creationId xmlns:a16="http://schemas.microsoft.com/office/drawing/2014/main" id="{00000000-0008-0000-07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4" name="AutoShape 4">
          <a:extLst>
            <a:ext uri="{FF2B5EF4-FFF2-40B4-BE49-F238E27FC236}">
              <a16:creationId xmlns:a16="http://schemas.microsoft.com/office/drawing/2014/main" id="{00000000-0008-0000-07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5" name="AutoShape 2">
          <a:extLst>
            <a:ext uri="{FF2B5EF4-FFF2-40B4-BE49-F238E27FC236}">
              <a16:creationId xmlns:a16="http://schemas.microsoft.com/office/drawing/2014/main" id="{00000000-0008-0000-07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6" name="AutoShape 4">
          <a:extLst>
            <a:ext uri="{FF2B5EF4-FFF2-40B4-BE49-F238E27FC236}">
              <a16:creationId xmlns:a16="http://schemas.microsoft.com/office/drawing/2014/main" id="{00000000-0008-0000-07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7" name="AutoShape 2">
          <a:extLst>
            <a:ext uri="{FF2B5EF4-FFF2-40B4-BE49-F238E27FC236}">
              <a16:creationId xmlns:a16="http://schemas.microsoft.com/office/drawing/2014/main" id="{00000000-0008-0000-07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8" name="AutoShape 4">
          <a:extLst>
            <a:ext uri="{FF2B5EF4-FFF2-40B4-BE49-F238E27FC236}">
              <a16:creationId xmlns:a16="http://schemas.microsoft.com/office/drawing/2014/main" id="{00000000-0008-0000-07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9" name="AutoShape 2">
          <a:extLst>
            <a:ext uri="{FF2B5EF4-FFF2-40B4-BE49-F238E27FC236}">
              <a16:creationId xmlns:a16="http://schemas.microsoft.com/office/drawing/2014/main" id="{00000000-0008-0000-07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0" name="AutoShape 4">
          <a:extLst>
            <a:ext uri="{FF2B5EF4-FFF2-40B4-BE49-F238E27FC236}">
              <a16:creationId xmlns:a16="http://schemas.microsoft.com/office/drawing/2014/main" id="{00000000-0008-0000-07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1" name="AutoShape 2">
          <a:extLst>
            <a:ext uri="{FF2B5EF4-FFF2-40B4-BE49-F238E27FC236}">
              <a16:creationId xmlns:a16="http://schemas.microsoft.com/office/drawing/2014/main" id="{00000000-0008-0000-07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2" name="AutoShape 4">
          <a:extLst>
            <a:ext uri="{FF2B5EF4-FFF2-40B4-BE49-F238E27FC236}">
              <a16:creationId xmlns:a16="http://schemas.microsoft.com/office/drawing/2014/main" id="{00000000-0008-0000-07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3" name="AutoShape 2">
          <a:extLst>
            <a:ext uri="{FF2B5EF4-FFF2-40B4-BE49-F238E27FC236}">
              <a16:creationId xmlns:a16="http://schemas.microsoft.com/office/drawing/2014/main" id="{00000000-0008-0000-07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4" name="AutoShape 4">
          <a:extLst>
            <a:ext uri="{FF2B5EF4-FFF2-40B4-BE49-F238E27FC236}">
              <a16:creationId xmlns:a16="http://schemas.microsoft.com/office/drawing/2014/main" id="{00000000-0008-0000-07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5" name="AutoShape 2">
          <a:extLst>
            <a:ext uri="{FF2B5EF4-FFF2-40B4-BE49-F238E27FC236}">
              <a16:creationId xmlns:a16="http://schemas.microsoft.com/office/drawing/2014/main" id="{00000000-0008-0000-07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16" name="AutoShape 4">
          <a:extLst>
            <a:ext uri="{FF2B5EF4-FFF2-40B4-BE49-F238E27FC236}">
              <a16:creationId xmlns:a16="http://schemas.microsoft.com/office/drawing/2014/main" id="{00000000-0008-0000-07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20" name="AutoShape 2">
          <a:extLst>
            <a:ext uri="{FF2B5EF4-FFF2-40B4-BE49-F238E27FC236}">
              <a16:creationId xmlns:a16="http://schemas.microsoft.com/office/drawing/2014/main" id="{00000000-0008-0000-07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21" name="AutoShape 4">
          <a:extLst>
            <a:ext uri="{FF2B5EF4-FFF2-40B4-BE49-F238E27FC236}">
              <a16:creationId xmlns:a16="http://schemas.microsoft.com/office/drawing/2014/main" id="{00000000-0008-0000-07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22" name="AutoShape 2">
          <a:extLst>
            <a:ext uri="{FF2B5EF4-FFF2-40B4-BE49-F238E27FC236}">
              <a16:creationId xmlns:a16="http://schemas.microsoft.com/office/drawing/2014/main" id="{00000000-0008-0000-07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23" name="AutoShape 4">
          <a:extLst>
            <a:ext uri="{FF2B5EF4-FFF2-40B4-BE49-F238E27FC236}">
              <a16:creationId xmlns:a16="http://schemas.microsoft.com/office/drawing/2014/main" id="{00000000-0008-0000-07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1238250</xdr:colOff>
      <xdr:row>48</xdr:row>
      <xdr:rowOff>57150</xdr:rowOff>
    </xdr:to>
    <xdr:sp macro="" textlink="">
      <xdr:nvSpPr>
        <xdr:cNvPr id="24" name="AutoShape 2">
          <a:extLst>
            <a:ext uri="{FF2B5EF4-FFF2-40B4-BE49-F238E27FC236}">
              <a16:creationId xmlns:a16="http://schemas.microsoft.com/office/drawing/2014/main" id="{00000000-0008-0000-07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985320</xdr:colOff>
      <xdr:row>52</xdr:row>
      <xdr:rowOff>118440</xdr:rowOff>
    </xdr:to>
    <xdr:sp macro="" textlink="">
      <xdr:nvSpPr>
        <xdr:cNvPr id="20" name="CustomShape 1" hidden="1">
          <a:extLst>
            <a:ext uri="{FF2B5EF4-FFF2-40B4-BE49-F238E27FC236}">
              <a16:creationId xmlns:a16="http://schemas.microsoft.com/office/drawing/2014/main" id="{00000000-0008-0000-0800-000014000000}"/>
            </a:ext>
          </a:extLst>
        </xdr:cNvPr>
        <xdr:cNvSpPr/>
      </xdr:nvSpPr>
      <xdr:spPr>
        <a:xfrm>
          <a:off x="0" y="0"/>
          <a:ext cx="11818080" cy="950976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986760</xdr:colOff>
      <xdr:row>52</xdr:row>
      <xdr:rowOff>119880</xdr:rowOff>
    </xdr:to>
    <xdr:sp macro="" textlink="">
      <xdr:nvSpPr>
        <xdr:cNvPr id="21" name="CustomShape 1" hidden="1">
          <a:extLst>
            <a:ext uri="{FF2B5EF4-FFF2-40B4-BE49-F238E27FC236}">
              <a16:creationId xmlns:a16="http://schemas.microsoft.com/office/drawing/2014/main" id="{00000000-0008-0000-0800-000015000000}"/>
            </a:ext>
          </a:extLst>
        </xdr:cNvPr>
        <xdr:cNvSpPr/>
      </xdr:nvSpPr>
      <xdr:spPr>
        <a:xfrm>
          <a:off x="0" y="0"/>
          <a:ext cx="1181952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986760</xdr:colOff>
      <xdr:row>52</xdr:row>
      <xdr:rowOff>119880</xdr:rowOff>
    </xdr:to>
    <xdr:sp macro="" textlink="">
      <xdr:nvSpPr>
        <xdr:cNvPr id="22" name="CustomShape 1" hidden="1">
          <a:extLst>
            <a:ext uri="{FF2B5EF4-FFF2-40B4-BE49-F238E27FC236}">
              <a16:creationId xmlns:a16="http://schemas.microsoft.com/office/drawing/2014/main" id="{00000000-0008-0000-0800-000016000000}"/>
            </a:ext>
          </a:extLst>
        </xdr:cNvPr>
        <xdr:cNvSpPr/>
      </xdr:nvSpPr>
      <xdr:spPr>
        <a:xfrm>
          <a:off x="0" y="0"/>
          <a:ext cx="1181952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6</xdr:col>
      <xdr:colOff>986760</xdr:colOff>
      <xdr:row>52</xdr:row>
      <xdr:rowOff>119880</xdr:rowOff>
    </xdr:to>
    <xdr:sp macro="" textlink="">
      <xdr:nvSpPr>
        <xdr:cNvPr id="23" name="CustomShape 1" hidden="1">
          <a:extLst>
            <a:ext uri="{FF2B5EF4-FFF2-40B4-BE49-F238E27FC236}">
              <a16:creationId xmlns:a16="http://schemas.microsoft.com/office/drawing/2014/main" id="{00000000-0008-0000-0800-000017000000}"/>
            </a:ext>
          </a:extLst>
        </xdr:cNvPr>
        <xdr:cNvSpPr/>
      </xdr:nvSpPr>
      <xdr:spPr>
        <a:xfrm>
          <a:off x="0" y="0"/>
          <a:ext cx="11819520" cy="951120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838200</xdr:colOff>
      <xdr:row>52</xdr:row>
      <xdr:rowOff>133350</xdr:rowOff>
    </xdr:to>
    <xdr:sp macro="" textlink="">
      <xdr:nvSpPr>
        <xdr:cNvPr id="6156" name="_x0000_t202" hidden="1">
          <a:extLst>
            <a:ext uri="{FF2B5EF4-FFF2-40B4-BE49-F238E27FC236}">
              <a16:creationId xmlns:a16="http://schemas.microsoft.com/office/drawing/2014/main" id="{00000000-0008-0000-0800-00000C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54" name="_x0000_t202" hidden="1">
          <a:extLst>
            <a:ext uri="{FF2B5EF4-FFF2-40B4-BE49-F238E27FC236}">
              <a16:creationId xmlns:a16="http://schemas.microsoft.com/office/drawing/2014/main" id="{00000000-0008-0000-0800-00000A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52" name="_x0000_t202" hidden="1">
          <a:extLst>
            <a:ext uri="{FF2B5EF4-FFF2-40B4-BE49-F238E27FC236}">
              <a16:creationId xmlns:a16="http://schemas.microsoft.com/office/drawing/2014/main" id="{00000000-0008-0000-0800-000008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50" name="_x0000_t202" hidden="1">
          <a:extLst>
            <a:ext uri="{FF2B5EF4-FFF2-40B4-BE49-F238E27FC236}">
              <a16:creationId xmlns:a16="http://schemas.microsoft.com/office/drawing/2014/main" id="{00000000-0008-0000-0800-000006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48" name="_x0000_t202" hidden="1">
          <a:extLst>
            <a:ext uri="{FF2B5EF4-FFF2-40B4-BE49-F238E27FC236}">
              <a16:creationId xmlns:a16="http://schemas.microsoft.com/office/drawing/2014/main" id="{00000000-0008-0000-0800-000004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46" name="_x0000_t202" hidden="1">
          <a:extLst>
            <a:ext uri="{FF2B5EF4-FFF2-40B4-BE49-F238E27FC236}">
              <a16:creationId xmlns:a16="http://schemas.microsoft.com/office/drawing/2014/main" id="{00000000-0008-0000-0800-000002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 name="AutoShape 12">
          <a:extLst>
            <a:ext uri="{FF2B5EF4-FFF2-40B4-BE49-F238E27FC236}">
              <a16:creationId xmlns:a16="http://schemas.microsoft.com/office/drawing/2014/main" id="{00000000-0008-0000-08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 name="AutoShape 10">
          <a:extLst>
            <a:ext uri="{FF2B5EF4-FFF2-40B4-BE49-F238E27FC236}">
              <a16:creationId xmlns:a16="http://schemas.microsoft.com/office/drawing/2014/main" id="{00000000-0008-0000-08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 name="AutoShape 8">
          <a:extLst>
            <a:ext uri="{FF2B5EF4-FFF2-40B4-BE49-F238E27FC236}">
              <a16:creationId xmlns:a16="http://schemas.microsoft.com/office/drawing/2014/main" id="{00000000-0008-0000-08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 name="AutoShape 6">
          <a:extLst>
            <a:ext uri="{FF2B5EF4-FFF2-40B4-BE49-F238E27FC236}">
              <a16:creationId xmlns:a16="http://schemas.microsoft.com/office/drawing/2014/main" id="{00000000-0008-0000-08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 name="AutoShape 4">
          <a:extLst>
            <a:ext uri="{FF2B5EF4-FFF2-40B4-BE49-F238E27FC236}">
              <a16:creationId xmlns:a16="http://schemas.microsoft.com/office/drawing/2014/main" id="{00000000-0008-0000-08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7" name="AutoShape 2">
          <a:extLst>
            <a:ext uri="{FF2B5EF4-FFF2-40B4-BE49-F238E27FC236}">
              <a16:creationId xmlns:a16="http://schemas.microsoft.com/office/drawing/2014/main" id="{00000000-0008-0000-08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8" name="AutoShape 12">
          <a:extLst>
            <a:ext uri="{FF2B5EF4-FFF2-40B4-BE49-F238E27FC236}">
              <a16:creationId xmlns:a16="http://schemas.microsoft.com/office/drawing/2014/main" id="{00000000-0008-0000-08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9" name="AutoShape 10">
          <a:extLst>
            <a:ext uri="{FF2B5EF4-FFF2-40B4-BE49-F238E27FC236}">
              <a16:creationId xmlns:a16="http://schemas.microsoft.com/office/drawing/2014/main" id="{00000000-0008-0000-08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0" name="AutoShape 8">
          <a:extLst>
            <a:ext uri="{FF2B5EF4-FFF2-40B4-BE49-F238E27FC236}">
              <a16:creationId xmlns:a16="http://schemas.microsoft.com/office/drawing/2014/main" id="{00000000-0008-0000-08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1" name="AutoShape 6">
          <a:extLst>
            <a:ext uri="{FF2B5EF4-FFF2-40B4-BE49-F238E27FC236}">
              <a16:creationId xmlns:a16="http://schemas.microsoft.com/office/drawing/2014/main" id="{00000000-0008-0000-08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2" name="AutoShape 4">
          <a:extLst>
            <a:ext uri="{FF2B5EF4-FFF2-40B4-BE49-F238E27FC236}">
              <a16:creationId xmlns:a16="http://schemas.microsoft.com/office/drawing/2014/main" id="{00000000-0008-0000-08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3" name="AutoShape 2">
          <a:extLst>
            <a:ext uri="{FF2B5EF4-FFF2-40B4-BE49-F238E27FC236}">
              <a16:creationId xmlns:a16="http://schemas.microsoft.com/office/drawing/2014/main" id="{00000000-0008-0000-08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4" name="AutoShape 12">
          <a:extLst>
            <a:ext uri="{FF2B5EF4-FFF2-40B4-BE49-F238E27FC236}">
              <a16:creationId xmlns:a16="http://schemas.microsoft.com/office/drawing/2014/main" id="{00000000-0008-0000-08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5" name="AutoShape 10">
          <a:extLst>
            <a:ext uri="{FF2B5EF4-FFF2-40B4-BE49-F238E27FC236}">
              <a16:creationId xmlns:a16="http://schemas.microsoft.com/office/drawing/2014/main" id="{00000000-0008-0000-08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6" name="AutoShape 8">
          <a:extLst>
            <a:ext uri="{FF2B5EF4-FFF2-40B4-BE49-F238E27FC236}">
              <a16:creationId xmlns:a16="http://schemas.microsoft.com/office/drawing/2014/main" id="{00000000-0008-0000-08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7" name="AutoShape 6">
          <a:extLst>
            <a:ext uri="{FF2B5EF4-FFF2-40B4-BE49-F238E27FC236}">
              <a16:creationId xmlns:a16="http://schemas.microsoft.com/office/drawing/2014/main" id="{00000000-0008-0000-08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8" name="AutoShape 4">
          <a:extLst>
            <a:ext uri="{FF2B5EF4-FFF2-40B4-BE49-F238E27FC236}">
              <a16:creationId xmlns:a16="http://schemas.microsoft.com/office/drawing/2014/main" id="{00000000-0008-0000-08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19" name="AutoShape 2">
          <a:extLst>
            <a:ext uri="{FF2B5EF4-FFF2-40B4-BE49-F238E27FC236}">
              <a16:creationId xmlns:a16="http://schemas.microsoft.com/office/drawing/2014/main" id="{00000000-0008-0000-08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4" name="AutoShape 12">
          <a:extLst>
            <a:ext uri="{FF2B5EF4-FFF2-40B4-BE49-F238E27FC236}">
              <a16:creationId xmlns:a16="http://schemas.microsoft.com/office/drawing/2014/main" id="{00000000-0008-0000-08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5" name="AutoShape 10">
          <a:extLst>
            <a:ext uri="{FF2B5EF4-FFF2-40B4-BE49-F238E27FC236}">
              <a16:creationId xmlns:a16="http://schemas.microsoft.com/office/drawing/2014/main" id="{00000000-0008-0000-08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6" name="AutoShape 8">
          <a:extLst>
            <a:ext uri="{FF2B5EF4-FFF2-40B4-BE49-F238E27FC236}">
              <a16:creationId xmlns:a16="http://schemas.microsoft.com/office/drawing/2014/main" id="{00000000-0008-0000-08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7" name="AutoShape 6">
          <a:extLst>
            <a:ext uri="{FF2B5EF4-FFF2-40B4-BE49-F238E27FC236}">
              <a16:creationId xmlns:a16="http://schemas.microsoft.com/office/drawing/2014/main" id="{00000000-0008-0000-08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8" name="AutoShape 4">
          <a:extLst>
            <a:ext uri="{FF2B5EF4-FFF2-40B4-BE49-F238E27FC236}">
              <a16:creationId xmlns:a16="http://schemas.microsoft.com/office/drawing/2014/main" id="{00000000-0008-0000-08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29" name="AutoShape 2">
          <a:extLst>
            <a:ext uri="{FF2B5EF4-FFF2-40B4-BE49-F238E27FC236}">
              <a16:creationId xmlns:a16="http://schemas.microsoft.com/office/drawing/2014/main" id="{00000000-0008-0000-08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0" name="AutoShape 12">
          <a:extLst>
            <a:ext uri="{FF2B5EF4-FFF2-40B4-BE49-F238E27FC236}">
              <a16:creationId xmlns:a16="http://schemas.microsoft.com/office/drawing/2014/main" id="{00000000-0008-0000-08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1" name="AutoShape 10">
          <a:extLst>
            <a:ext uri="{FF2B5EF4-FFF2-40B4-BE49-F238E27FC236}">
              <a16:creationId xmlns:a16="http://schemas.microsoft.com/office/drawing/2014/main" id="{00000000-0008-0000-08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2" name="AutoShape 8">
          <a:extLst>
            <a:ext uri="{FF2B5EF4-FFF2-40B4-BE49-F238E27FC236}">
              <a16:creationId xmlns:a16="http://schemas.microsoft.com/office/drawing/2014/main" id="{00000000-0008-0000-08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3" name="AutoShape 6">
          <a:extLst>
            <a:ext uri="{FF2B5EF4-FFF2-40B4-BE49-F238E27FC236}">
              <a16:creationId xmlns:a16="http://schemas.microsoft.com/office/drawing/2014/main" id="{00000000-0008-0000-08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4" name="AutoShape 4">
          <a:extLst>
            <a:ext uri="{FF2B5EF4-FFF2-40B4-BE49-F238E27FC236}">
              <a16:creationId xmlns:a16="http://schemas.microsoft.com/office/drawing/2014/main" id="{00000000-0008-0000-08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5" name="AutoShape 2">
          <a:extLst>
            <a:ext uri="{FF2B5EF4-FFF2-40B4-BE49-F238E27FC236}">
              <a16:creationId xmlns:a16="http://schemas.microsoft.com/office/drawing/2014/main" id="{00000000-0008-0000-08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6" name="AutoShape 12">
          <a:extLst>
            <a:ext uri="{FF2B5EF4-FFF2-40B4-BE49-F238E27FC236}">
              <a16:creationId xmlns:a16="http://schemas.microsoft.com/office/drawing/2014/main" id="{00000000-0008-0000-08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7" name="AutoShape 10">
          <a:extLst>
            <a:ext uri="{FF2B5EF4-FFF2-40B4-BE49-F238E27FC236}">
              <a16:creationId xmlns:a16="http://schemas.microsoft.com/office/drawing/2014/main" id="{00000000-0008-0000-0800-00002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8" name="AutoShape 8">
          <a:extLst>
            <a:ext uri="{FF2B5EF4-FFF2-40B4-BE49-F238E27FC236}">
              <a16:creationId xmlns:a16="http://schemas.microsoft.com/office/drawing/2014/main" id="{00000000-0008-0000-0800-00002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39" name="AutoShape 6">
          <a:extLst>
            <a:ext uri="{FF2B5EF4-FFF2-40B4-BE49-F238E27FC236}">
              <a16:creationId xmlns:a16="http://schemas.microsoft.com/office/drawing/2014/main" id="{00000000-0008-0000-0800-00002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0" name="AutoShape 4">
          <a:extLst>
            <a:ext uri="{FF2B5EF4-FFF2-40B4-BE49-F238E27FC236}">
              <a16:creationId xmlns:a16="http://schemas.microsoft.com/office/drawing/2014/main" id="{00000000-0008-0000-0800-00002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1" name="AutoShape 2">
          <a:extLst>
            <a:ext uri="{FF2B5EF4-FFF2-40B4-BE49-F238E27FC236}">
              <a16:creationId xmlns:a16="http://schemas.microsoft.com/office/drawing/2014/main" id="{00000000-0008-0000-0800-00002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2" name="AutoShape 12">
          <a:extLst>
            <a:ext uri="{FF2B5EF4-FFF2-40B4-BE49-F238E27FC236}">
              <a16:creationId xmlns:a16="http://schemas.microsoft.com/office/drawing/2014/main" id="{00000000-0008-0000-0800-00002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3" name="AutoShape 10">
          <a:extLst>
            <a:ext uri="{FF2B5EF4-FFF2-40B4-BE49-F238E27FC236}">
              <a16:creationId xmlns:a16="http://schemas.microsoft.com/office/drawing/2014/main" id="{00000000-0008-0000-0800-00002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4" name="AutoShape 8">
          <a:extLst>
            <a:ext uri="{FF2B5EF4-FFF2-40B4-BE49-F238E27FC236}">
              <a16:creationId xmlns:a16="http://schemas.microsoft.com/office/drawing/2014/main" id="{00000000-0008-0000-0800-00002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5" name="AutoShape 6">
          <a:extLst>
            <a:ext uri="{FF2B5EF4-FFF2-40B4-BE49-F238E27FC236}">
              <a16:creationId xmlns:a16="http://schemas.microsoft.com/office/drawing/2014/main" id="{00000000-0008-0000-0800-00002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6" name="AutoShape 4">
          <a:extLst>
            <a:ext uri="{FF2B5EF4-FFF2-40B4-BE49-F238E27FC236}">
              <a16:creationId xmlns:a16="http://schemas.microsoft.com/office/drawing/2014/main" id="{00000000-0008-0000-0800-00002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7" name="AutoShape 2">
          <a:extLst>
            <a:ext uri="{FF2B5EF4-FFF2-40B4-BE49-F238E27FC236}">
              <a16:creationId xmlns:a16="http://schemas.microsoft.com/office/drawing/2014/main" id="{00000000-0008-0000-0800-00002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8" name="AutoShape 12">
          <a:extLst>
            <a:ext uri="{FF2B5EF4-FFF2-40B4-BE49-F238E27FC236}">
              <a16:creationId xmlns:a16="http://schemas.microsoft.com/office/drawing/2014/main" id="{00000000-0008-0000-0800-00003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49" name="AutoShape 10">
          <a:extLst>
            <a:ext uri="{FF2B5EF4-FFF2-40B4-BE49-F238E27FC236}">
              <a16:creationId xmlns:a16="http://schemas.microsoft.com/office/drawing/2014/main" id="{00000000-0008-0000-0800-00003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0" name="AutoShape 8">
          <a:extLst>
            <a:ext uri="{FF2B5EF4-FFF2-40B4-BE49-F238E27FC236}">
              <a16:creationId xmlns:a16="http://schemas.microsoft.com/office/drawing/2014/main" id="{00000000-0008-0000-0800-00003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1" name="AutoShape 6">
          <a:extLst>
            <a:ext uri="{FF2B5EF4-FFF2-40B4-BE49-F238E27FC236}">
              <a16:creationId xmlns:a16="http://schemas.microsoft.com/office/drawing/2014/main" id="{00000000-0008-0000-0800-00003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2" name="AutoShape 4">
          <a:extLst>
            <a:ext uri="{FF2B5EF4-FFF2-40B4-BE49-F238E27FC236}">
              <a16:creationId xmlns:a16="http://schemas.microsoft.com/office/drawing/2014/main" id="{00000000-0008-0000-0800-00003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3" name="AutoShape 2">
          <a:extLst>
            <a:ext uri="{FF2B5EF4-FFF2-40B4-BE49-F238E27FC236}">
              <a16:creationId xmlns:a16="http://schemas.microsoft.com/office/drawing/2014/main" id="{00000000-0008-0000-0800-00003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4" name="AutoShape 12">
          <a:extLst>
            <a:ext uri="{FF2B5EF4-FFF2-40B4-BE49-F238E27FC236}">
              <a16:creationId xmlns:a16="http://schemas.microsoft.com/office/drawing/2014/main" id="{00000000-0008-0000-0800-00003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5" name="AutoShape 10">
          <a:extLst>
            <a:ext uri="{FF2B5EF4-FFF2-40B4-BE49-F238E27FC236}">
              <a16:creationId xmlns:a16="http://schemas.microsoft.com/office/drawing/2014/main" id="{00000000-0008-0000-0800-00003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6" name="AutoShape 8">
          <a:extLst>
            <a:ext uri="{FF2B5EF4-FFF2-40B4-BE49-F238E27FC236}">
              <a16:creationId xmlns:a16="http://schemas.microsoft.com/office/drawing/2014/main" id="{00000000-0008-0000-0800-00003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7" name="AutoShape 6">
          <a:extLst>
            <a:ext uri="{FF2B5EF4-FFF2-40B4-BE49-F238E27FC236}">
              <a16:creationId xmlns:a16="http://schemas.microsoft.com/office/drawing/2014/main" id="{00000000-0008-0000-0800-00003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8" name="AutoShape 4">
          <a:extLst>
            <a:ext uri="{FF2B5EF4-FFF2-40B4-BE49-F238E27FC236}">
              <a16:creationId xmlns:a16="http://schemas.microsoft.com/office/drawing/2014/main" id="{00000000-0008-0000-0800-00003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59" name="AutoShape 2">
          <a:extLst>
            <a:ext uri="{FF2B5EF4-FFF2-40B4-BE49-F238E27FC236}">
              <a16:creationId xmlns:a16="http://schemas.microsoft.com/office/drawing/2014/main" id="{00000000-0008-0000-0800-00003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0" name="AutoShape 12">
          <a:extLst>
            <a:ext uri="{FF2B5EF4-FFF2-40B4-BE49-F238E27FC236}">
              <a16:creationId xmlns:a16="http://schemas.microsoft.com/office/drawing/2014/main" id="{00000000-0008-0000-0800-00003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 name="AutoShape 10">
          <a:extLst>
            <a:ext uri="{FF2B5EF4-FFF2-40B4-BE49-F238E27FC236}">
              <a16:creationId xmlns:a16="http://schemas.microsoft.com/office/drawing/2014/main" id="{00000000-0008-0000-0800-00003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2" name="AutoShape 8">
          <a:extLst>
            <a:ext uri="{FF2B5EF4-FFF2-40B4-BE49-F238E27FC236}">
              <a16:creationId xmlns:a16="http://schemas.microsoft.com/office/drawing/2014/main" id="{00000000-0008-0000-0800-00003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3" name="AutoShape 6">
          <a:extLst>
            <a:ext uri="{FF2B5EF4-FFF2-40B4-BE49-F238E27FC236}">
              <a16:creationId xmlns:a16="http://schemas.microsoft.com/office/drawing/2014/main" id="{00000000-0008-0000-0800-00003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44" name="AutoShape 4">
          <a:extLst>
            <a:ext uri="{FF2B5EF4-FFF2-40B4-BE49-F238E27FC236}">
              <a16:creationId xmlns:a16="http://schemas.microsoft.com/office/drawing/2014/main" id="{00000000-0008-0000-0800-0000001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838200</xdr:colOff>
      <xdr:row>52</xdr:row>
      <xdr:rowOff>133350</xdr:rowOff>
    </xdr:to>
    <xdr:sp macro="" textlink="">
      <xdr:nvSpPr>
        <xdr:cNvPr id="6145" name="AutoShape 2">
          <a:extLst>
            <a:ext uri="{FF2B5EF4-FFF2-40B4-BE49-F238E27FC236}">
              <a16:creationId xmlns:a16="http://schemas.microsoft.com/office/drawing/2014/main" id="{00000000-0008-0000-0800-00000118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327960</xdr:colOff>
      <xdr:row>35</xdr:row>
      <xdr:rowOff>146880</xdr:rowOff>
    </xdr:to>
    <xdr:sp macro="" textlink="">
      <xdr:nvSpPr>
        <xdr:cNvPr id="24" name="CustomShape 1" hidden="1">
          <a:extLst>
            <a:ext uri="{FF2B5EF4-FFF2-40B4-BE49-F238E27FC236}">
              <a16:creationId xmlns:a16="http://schemas.microsoft.com/office/drawing/2014/main" id="{00000000-0008-0000-0900-000018000000}"/>
            </a:ext>
          </a:extLst>
        </xdr:cNvPr>
        <xdr:cNvSpPr/>
      </xdr:nvSpPr>
      <xdr:spPr>
        <a:xfrm>
          <a:off x="0" y="0"/>
          <a:ext cx="8075520" cy="669816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10</xdr:col>
      <xdr:colOff>238125</xdr:colOff>
      <xdr:row>53</xdr:row>
      <xdr:rowOff>66675</xdr:rowOff>
    </xdr:to>
    <xdr:sp macro="" textlink="">
      <xdr:nvSpPr>
        <xdr:cNvPr id="7174" name="_x0000_t202" hidden="1">
          <a:extLst>
            <a:ext uri="{FF2B5EF4-FFF2-40B4-BE49-F238E27FC236}">
              <a16:creationId xmlns:a16="http://schemas.microsoft.com/office/drawing/2014/main" id="{00000000-0008-0000-0900-0000061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7172" name="_x0000_t202" hidden="1">
          <a:extLst>
            <a:ext uri="{FF2B5EF4-FFF2-40B4-BE49-F238E27FC236}">
              <a16:creationId xmlns:a16="http://schemas.microsoft.com/office/drawing/2014/main" id="{00000000-0008-0000-0900-0000041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7170" name="_x0000_t202" hidden="1">
          <a:extLst>
            <a:ext uri="{FF2B5EF4-FFF2-40B4-BE49-F238E27FC236}">
              <a16:creationId xmlns:a16="http://schemas.microsoft.com/office/drawing/2014/main" id="{00000000-0008-0000-0900-0000021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 name="AutoShape 6">
          <a:extLst>
            <a:ext uri="{FF2B5EF4-FFF2-40B4-BE49-F238E27FC236}">
              <a16:creationId xmlns:a16="http://schemas.microsoft.com/office/drawing/2014/main" id="{00000000-0008-0000-09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3" name="AutoShape 4">
          <a:extLst>
            <a:ext uri="{FF2B5EF4-FFF2-40B4-BE49-F238E27FC236}">
              <a16:creationId xmlns:a16="http://schemas.microsoft.com/office/drawing/2014/main" id="{00000000-0008-0000-09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4" name="AutoShape 2">
          <a:extLst>
            <a:ext uri="{FF2B5EF4-FFF2-40B4-BE49-F238E27FC236}">
              <a16:creationId xmlns:a16="http://schemas.microsoft.com/office/drawing/2014/main" id="{00000000-0008-0000-09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5" name="AutoShape 6">
          <a:extLst>
            <a:ext uri="{FF2B5EF4-FFF2-40B4-BE49-F238E27FC236}">
              <a16:creationId xmlns:a16="http://schemas.microsoft.com/office/drawing/2014/main" id="{00000000-0008-0000-09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6" name="AutoShape 4">
          <a:extLst>
            <a:ext uri="{FF2B5EF4-FFF2-40B4-BE49-F238E27FC236}">
              <a16:creationId xmlns:a16="http://schemas.microsoft.com/office/drawing/2014/main" id="{00000000-0008-0000-09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7" name="AutoShape 2">
          <a:extLst>
            <a:ext uri="{FF2B5EF4-FFF2-40B4-BE49-F238E27FC236}">
              <a16:creationId xmlns:a16="http://schemas.microsoft.com/office/drawing/2014/main" id="{00000000-0008-0000-09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8" name="AutoShape 6">
          <a:extLst>
            <a:ext uri="{FF2B5EF4-FFF2-40B4-BE49-F238E27FC236}">
              <a16:creationId xmlns:a16="http://schemas.microsoft.com/office/drawing/2014/main" id="{00000000-0008-0000-09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9" name="AutoShape 4">
          <a:extLst>
            <a:ext uri="{FF2B5EF4-FFF2-40B4-BE49-F238E27FC236}">
              <a16:creationId xmlns:a16="http://schemas.microsoft.com/office/drawing/2014/main" id="{00000000-0008-0000-09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0" name="AutoShape 2">
          <a:extLst>
            <a:ext uri="{FF2B5EF4-FFF2-40B4-BE49-F238E27FC236}">
              <a16:creationId xmlns:a16="http://schemas.microsoft.com/office/drawing/2014/main" id="{00000000-0008-0000-09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1" name="AutoShape 6">
          <a:extLst>
            <a:ext uri="{FF2B5EF4-FFF2-40B4-BE49-F238E27FC236}">
              <a16:creationId xmlns:a16="http://schemas.microsoft.com/office/drawing/2014/main" id="{00000000-0008-0000-09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2" name="AutoShape 4">
          <a:extLst>
            <a:ext uri="{FF2B5EF4-FFF2-40B4-BE49-F238E27FC236}">
              <a16:creationId xmlns:a16="http://schemas.microsoft.com/office/drawing/2014/main" id="{00000000-0008-0000-09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3" name="AutoShape 2">
          <a:extLst>
            <a:ext uri="{FF2B5EF4-FFF2-40B4-BE49-F238E27FC236}">
              <a16:creationId xmlns:a16="http://schemas.microsoft.com/office/drawing/2014/main" id="{00000000-0008-0000-09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4" name="AutoShape 6">
          <a:extLst>
            <a:ext uri="{FF2B5EF4-FFF2-40B4-BE49-F238E27FC236}">
              <a16:creationId xmlns:a16="http://schemas.microsoft.com/office/drawing/2014/main" id="{00000000-0008-0000-09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5" name="AutoShape 4">
          <a:extLst>
            <a:ext uri="{FF2B5EF4-FFF2-40B4-BE49-F238E27FC236}">
              <a16:creationId xmlns:a16="http://schemas.microsoft.com/office/drawing/2014/main" id="{00000000-0008-0000-09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6" name="AutoShape 2">
          <a:extLst>
            <a:ext uri="{FF2B5EF4-FFF2-40B4-BE49-F238E27FC236}">
              <a16:creationId xmlns:a16="http://schemas.microsoft.com/office/drawing/2014/main" id="{00000000-0008-0000-09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7" name="AutoShape 6">
          <a:extLst>
            <a:ext uri="{FF2B5EF4-FFF2-40B4-BE49-F238E27FC236}">
              <a16:creationId xmlns:a16="http://schemas.microsoft.com/office/drawing/2014/main" id="{00000000-0008-0000-09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8" name="AutoShape 4">
          <a:extLst>
            <a:ext uri="{FF2B5EF4-FFF2-40B4-BE49-F238E27FC236}">
              <a16:creationId xmlns:a16="http://schemas.microsoft.com/office/drawing/2014/main" id="{00000000-0008-0000-09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19" name="AutoShape 2">
          <a:extLst>
            <a:ext uri="{FF2B5EF4-FFF2-40B4-BE49-F238E27FC236}">
              <a16:creationId xmlns:a16="http://schemas.microsoft.com/office/drawing/2014/main" id="{00000000-0008-0000-09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0" name="AutoShape 6">
          <a:extLst>
            <a:ext uri="{FF2B5EF4-FFF2-40B4-BE49-F238E27FC236}">
              <a16:creationId xmlns:a16="http://schemas.microsoft.com/office/drawing/2014/main" id="{00000000-0008-0000-09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1" name="AutoShape 4">
          <a:extLst>
            <a:ext uri="{FF2B5EF4-FFF2-40B4-BE49-F238E27FC236}">
              <a16:creationId xmlns:a16="http://schemas.microsoft.com/office/drawing/2014/main" id="{00000000-0008-0000-09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2" name="AutoShape 2">
          <a:extLst>
            <a:ext uri="{FF2B5EF4-FFF2-40B4-BE49-F238E27FC236}">
              <a16:creationId xmlns:a16="http://schemas.microsoft.com/office/drawing/2014/main" id="{00000000-0008-0000-09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3" name="AutoShape 6">
          <a:extLst>
            <a:ext uri="{FF2B5EF4-FFF2-40B4-BE49-F238E27FC236}">
              <a16:creationId xmlns:a16="http://schemas.microsoft.com/office/drawing/2014/main" id="{00000000-0008-0000-09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5" name="AutoShape 4">
          <a:extLst>
            <a:ext uri="{FF2B5EF4-FFF2-40B4-BE49-F238E27FC236}">
              <a16:creationId xmlns:a16="http://schemas.microsoft.com/office/drawing/2014/main" id="{00000000-0008-0000-09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6" name="AutoShape 2">
          <a:extLst>
            <a:ext uri="{FF2B5EF4-FFF2-40B4-BE49-F238E27FC236}">
              <a16:creationId xmlns:a16="http://schemas.microsoft.com/office/drawing/2014/main" id="{00000000-0008-0000-09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7" name="AutoShape 6">
          <a:extLst>
            <a:ext uri="{FF2B5EF4-FFF2-40B4-BE49-F238E27FC236}">
              <a16:creationId xmlns:a16="http://schemas.microsoft.com/office/drawing/2014/main" id="{00000000-0008-0000-09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8" name="AutoShape 4">
          <a:extLst>
            <a:ext uri="{FF2B5EF4-FFF2-40B4-BE49-F238E27FC236}">
              <a16:creationId xmlns:a16="http://schemas.microsoft.com/office/drawing/2014/main" id="{00000000-0008-0000-09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29" name="AutoShape 2">
          <a:extLst>
            <a:ext uri="{FF2B5EF4-FFF2-40B4-BE49-F238E27FC236}">
              <a16:creationId xmlns:a16="http://schemas.microsoft.com/office/drawing/2014/main" id="{00000000-0008-0000-09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30" name="AutoShape 6">
          <a:extLst>
            <a:ext uri="{FF2B5EF4-FFF2-40B4-BE49-F238E27FC236}">
              <a16:creationId xmlns:a16="http://schemas.microsoft.com/office/drawing/2014/main" id="{00000000-0008-0000-09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31" name="AutoShape 4">
          <a:extLst>
            <a:ext uri="{FF2B5EF4-FFF2-40B4-BE49-F238E27FC236}">
              <a16:creationId xmlns:a16="http://schemas.microsoft.com/office/drawing/2014/main" id="{00000000-0008-0000-09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238125</xdr:colOff>
      <xdr:row>53</xdr:row>
      <xdr:rowOff>66675</xdr:rowOff>
    </xdr:to>
    <xdr:sp macro="" textlink="">
      <xdr:nvSpPr>
        <xdr:cNvPr id="32" name="AutoShape 2">
          <a:extLst>
            <a:ext uri="{FF2B5EF4-FFF2-40B4-BE49-F238E27FC236}">
              <a16:creationId xmlns:a16="http://schemas.microsoft.com/office/drawing/2014/main" id="{00000000-0008-0000-09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451800</xdr:colOff>
      <xdr:row>52</xdr:row>
      <xdr:rowOff>146880</xdr:rowOff>
    </xdr:to>
    <xdr:sp macro="" textlink="">
      <xdr:nvSpPr>
        <xdr:cNvPr id="25" name="CustomShape 1" hidden="1">
          <a:extLst>
            <a:ext uri="{FF2B5EF4-FFF2-40B4-BE49-F238E27FC236}">
              <a16:creationId xmlns:a16="http://schemas.microsoft.com/office/drawing/2014/main" id="{00000000-0008-0000-0A00-000019000000}"/>
            </a:ext>
          </a:extLst>
        </xdr:cNvPr>
        <xdr:cNvSpPr/>
      </xdr:nvSpPr>
      <xdr:spPr>
        <a:xfrm>
          <a:off x="0" y="0"/>
          <a:ext cx="10035000" cy="966348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453240</xdr:colOff>
      <xdr:row>52</xdr:row>
      <xdr:rowOff>148320</xdr:rowOff>
    </xdr:to>
    <xdr:sp macro="" textlink="">
      <xdr:nvSpPr>
        <xdr:cNvPr id="26" name="CustomShape 1" hidden="1">
          <a:extLst>
            <a:ext uri="{FF2B5EF4-FFF2-40B4-BE49-F238E27FC236}">
              <a16:creationId xmlns:a16="http://schemas.microsoft.com/office/drawing/2014/main" id="{00000000-0008-0000-0A00-00001A000000}"/>
            </a:ext>
          </a:extLst>
        </xdr:cNvPr>
        <xdr:cNvSpPr/>
      </xdr:nvSpPr>
      <xdr:spPr>
        <a:xfrm>
          <a:off x="0" y="0"/>
          <a:ext cx="10036440" cy="9664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453240</xdr:colOff>
      <xdr:row>52</xdr:row>
      <xdr:rowOff>148320</xdr:rowOff>
    </xdr:to>
    <xdr:sp macro="" textlink="">
      <xdr:nvSpPr>
        <xdr:cNvPr id="27" name="CustomShape 1" hidden="1">
          <a:extLst>
            <a:ext uri="{FF2B5EF4-FFF2-40B4-BE49-F238E27FC236}">
              <a16:creationId xmlns:a16="http://schemas.microsoft.com/office/drawing/2014/main" id="{00000000-0008-0000-0A00-00001B000000}"/>
            </a:ext>
          </a:extLst>
        </xdr:cNvPr>
        <xdr:cNvSpPr/>
      </xdr:nvSpPr>
      <xdr:spPr>
        <a:xfrm>
          <a:off x="0" y="0"/>
          <a:ext cx="10036440" cy="9664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453240</xdr:colOff>
      <xdr:row>52</xdr:row>
      <xdr:rowOff>148320</xdr:rowOff>
    </xdr:to>
    <xdr:sp macro="" textlink="">
      <xdr:nvSpPr>
        <xdr:cNvPr id="28" name="CustomShape 1" hidden="1">
          <a:extLst>
            <a:ext uri="{FF2B5EF4-FFF2-40B4-BE49-F238E27FC236}">
              <a16:creationId xmlns:a16="http://schemas.microsoft.com/office/drawing/2014/main" id="{00000000-0008-0000-0A00-00001C000000}"/>
            </a:ext>
          </a:extLst>
        </xdr:cNvPr>
        <xdr:cNvSpPr/>
      </xdr:nvSpPr>
      <xdr:spPr>
        <a:xfrm>
          <a:off x="0" y="0"/>
          <a:ext cx="10036440" cy="9664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453240</xdr:colOff>
      <xdr:row>52</xdr:row>
      <xdr:rowOff>148320</xdr:rowOff>
    </xdr:to>
    <xdr:sp macro="" textlink="">
      <xdr:nvSpPr>
        <xdr:cNvPr id="29" name="CustomShape 1" hidden="1">
          <a:extLst>
            <a:ext uri="{FF2B5EF4-FFF2-40B4-BE49-F238E27FC236}">
              <a16:creationId xmlns:a16="http://schemas.microsoft.com/office/drawing/2014/main" id="{00000000-0008-0000-0A00-00001D000000}"/>
            </a:ext>
          </a:extLst>
        </xdr:cNvPr>
        <xdr:cNvSpPr/>
      </xdr:nvSpPr>
      <xdr:spPr>
        <a:xfrm>
          <a:off x="0" y="0"/>
          <a:ext cx="10036440" cy="96649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466725</xdr:colOff>
      <xdr:row>52</xdr:row>
      <xdr:rowOff>9525</xdr:rowOff>
    </xdr:to>
    <xdr:sp macro="" textlink="">
      <xdr:nvSpPr>
        <xdr:cNvPr id="8198" name="_x0000_t202" hidden="1">
          <a:extLst>
            <a:ext uri="{FF2B5EF4-FFF2-40B4-BE49-F238E27FC236}">
              <a16:creationId xmlns:a16="http://schemas.microsoft.com/office/drawing/2014/main" id="{00000000-0008-0000-0A00-0000062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8196" name="_x0000_t202" hidden="1">
          <a:extLst>
            <a:ext uri="{FF2B5EF4-FFF2-40B4-BE49-F238E27FC236}">
              <a16:creationId xmlns:a16="http://schemas.microsoft.com/office/drawing/2014/main" id="{00000000-0008-0000-0A00-0000042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8194" name="_x0000_t202" hidden="1">
          <a:extLst>
            <a:ext uri="{FF2B5EF4-FFF2-40B4-BE49-F238E27FC236}">
              <a16:creationId xmlns:a16="http://schemas.microsoft.com/office/drawing/2014/main" id="{00000000-0008-0000-0A00-0000022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2" name="AutoShape 6">
          <a:extLst>
            <a:ext uri="{FF2B5EF4-FFF2-40B4-BE49-F238E27FC236}">
              <a16:creationId xmlns:a16="http://schemas.microsoft.com/office/drawing/2014/main" id="{00000000-0008-0000-0A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 name="AutoShape 4">
          <a:extLst>
            <a:ext uri="{FF2B5EF4-FFF2-40B4-BE49-F238E27FC236}">
              <a16:creationId xmlns:a16="http://schemas.microsoft.com/office/drawing/2014/main" id="{00000000-0008-0000-0A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4" name="AutoShape 2">
          <a:extLst>
            <a:ext uri="{FF2B5EF4-FFF2-40B4-BE49-F238E27FC236}">
              <a16:creationId xmlns:a16="http://schemas.microsoft.com/office/drawing/2014/main" id="{00000000-0008-0000-0A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5" name="AutoShape 6">
          <a:extLst>
            <a:ext uri="{FF2B5EF4-FFF2-40B4-BE49-F238E27FC236}">
              <a16:creationId xmlns:a16="http://schemas.microsoft.com/office/drawing/2014/main" id="{00000000-0008-0000-0A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6" name="AutoShape 4">
          <a:extLst>
            <a:ext uri="{FF2B5EF4-FFF2-40B4-BE49-F238E27FC236}">
              <a16:creationId xmlns:a16="http://schemas.microsoft.com/office/drawing/2014/main" id="{00000000-0008-0000-0A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7" name="AutoShape 2">
          <a:extLst>
            <a:ext uri="{FF2B5EF4-FFF2-40B4-BE49-F238E27FC236}">
              <a16:creationId xmlns:a16="http://schemas.microsoft.com/office/drawing/2014/main" id="{00000000-0008-0000-0A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8" name="AutoShape 6">
          <a:extLst>
            <a:ext uri="{FF2B5EF4-FFF2-40B4-BE49-F238E27FC236}">
              <a16:creationId xmlns:a16="http://schemas.microsoft.com/office/drawing/2014/main" id="{00000000-0008-0000-0A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9" name="AutoShape 4">
          <a:extLst>
            <a:ext uri="{FF2B5EF4-FFF2-40B4-BE49-F238E27FC236}">
              <a16:creationId xmlns:a16="http://schemas.microsoft.com/office/drawing/2014/main" id="{00000000-0008-0000-0A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0" name="AutoShape 2">
          <a:extLst>
            <a:ext uri="{FF2B5EF4-FFF2-40B4-BE49-F238E27FC236}">
              <a16:creationId xmlns:a16="http://schemas.microsoft.com/office/drawing/2014/main" id="{00000000-0008-0000-0A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1" name="AutoShape 6">
          <a:extLst>
            <a:ext uri="{FF2B5EF4-FFF2-40B4-BE49-F238E27FC236}">
              <a16:creationId xmlns:a16="http://schemas.microsoft.com/office/drawing/2014/main" id="{00000000-0008-0000-0A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2" name="AutoShape 4">
          <a:extLst>
            <a:ext uri="{FF2B5EF4-FFF2-40B4-BE49-F238E27FC236}">
              <a16:creationId xmlns:a16="http://schemas.microsoft.com/office/drawing/2014/main" id="{00000000-0008-0000-0A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3" name="AutoShape 2">
          <a:extLst>
            <a:ext uri="{FF2B5EF4-FFF2-40B4-BE49-F238E27FC236}">
              <a16:creationId xmlns:a16="http://schemas.microsoft.com/office/drawing/2014/main" id="{00000000-0008-0000-0A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4" name="AutoShape 6">
          <a:extLst>
            <a:ext uri="{FF2B5EF4-FFF2-40B4-BE49-F238E27FC236}">
              <a16:creationId xmlns:a16="http://schemas.microsoft.com/office/drawing/2014/main" id="{00000000-0008-0000-0A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5" name="AutoShape 4">
          <a:extLst>
            <a:ext uri="{FF2B5EF4-FFF2-40B4-BE49-F238E27FC236}">
              <a16:creationId xmlns:a16="http://schemas.microsoft.com/office/drawing/2014/main" id="{00000000-0008-0000-0A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6" name="AutoShape 2">
          <a:extLst>
            <a:ext uri="{FF2B5EF4-FFF2-40B4-BE49-F238E27FC236}">
              <a16:creationId xmlns:a16="http://schemas.microsoft.com/office/drawing/2014/main" id="{00000000-0008-0000-0A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7" name="AutoShape 6">
          <a:extLst>
            <a:ext uri="{FF2B5EF4-FFF2-40B4-BE49-F238E27FC236}">
              <a16:creationId xmlns:a16="http://schemas.microsoft.com/office/drawing/2014/main" id="{00000000-0008-0000-0A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8" name="AutoShape 4">
          <a:extLst>
            <a:ext uri="{FF2B5EF4-FFF2-40B4-BE49-F238E27FC236}">
              <a16:creationId xmlns:a16="http://schemas.microsoft.com/office/drawing/2014/main" id="{00000000-0008-0000-0A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19" name="AutoShape 2">
          <a:extLst>
            <a:ext uri="{FF2B5EF4-FFF2-40B4-BE49-F238E27FC236}">
              <a16:creationId xmlns:a16="http://schemas.microsoft.com/office/drawing/2014/main" id="{00000000-0008-0000-0A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20" name="AutoShape 6">
          <a:extLst>
            <a:ext uri="{FF2B5EF4-FFF2-40B4-BE49-F238E27FC236}">
              <a16:creationId xmlns:a16="http://schemas.microsoft.com/office/drawing/2014/main" id="{00000000-0008-0000-0A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21" name="AutoShape 4">
          <a:extLst>
            <a:ext uri="{FF2B5EF4-FFF2-40B4-BE49-F238E27FC236}">
              <a16:creationId xmlns:a16="http://schemas.microsoft.com/office/drawing/2014/main" id="{00000000-0008-0000-0A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22" name="AutoShape 2">
          <a:extLst>
            <a:ext uri="{FF2B5EF4-FFF2-40B4-BE49-F238E27FC236}">
              <a16:creationId xmlns:a16="http://schemas.microsoft.com/office/drawing/2014/main" id="{00000000-0008-0000-0A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23" name="AutoShape 6">
          <a:extLst>
            <a:ext uri="{FF2B5EF4-FFF2-40B4-BE49-F238E27FC236}">
              <a16:creationId xmlns:a16="http://schemas.microsoft.com/office/drawing/2014/main" id="{00000000-0008-0000-0A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24" name="AutoShape 4">
          <a:extLst>
            <a:ext uri="{FF2B5EF4-FFF2-40B4-BE49-F238E27FC236}">
              <a16:creationId xmlns:a16="http://schemas.microsoft.com/office/drawing/2014/main" id="{00000000-0008-0000-0A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0" name="AutoShape 2">
          <a:extLst>
            <a:ext uri="{FF2B5EF4-FFF2-40B4-BE49-F238E27FC236}">
              <a16:creationId xmlns:a16="http://schemas.microsoft.com/office/drawing/2014/main" id="{00000000-0008-0000-0A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1" name="AutoShape 6">
          <a:extLst>
            <a:ext uri="{FF2B5EF4-FFF2-40B4-BE49-F238E27FC236}">
              <a16:creationId xmlns:a16="http://schemas.microsoft.com/office/drawing/2014/main" id="{00000000-0008-0000-0A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2" name="AutoShape 4">
          <a:extLst>
            <a:ext uri="{FF2B5EF4-FFF2-40B4-BE49-F238E27FC236}">
              <a16:creationId xmlns:a16="http://schemas.microsoft.com/office/drawing/2014/main" id="{00000000-0008-0000-0A00-00002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3" name="AutoShape 2">
          <a:extLst>
            <a:ext uri="{FF2B5EF4-FFF2-40B4-BE49-F238E27FC236}">
              <a16:creationId xmlns:a16="http://schemas.microsoft.com/office/drawing/2014/main" id="{00000000-0008-0000-0A00-00002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4" name="AutoShape 6">
          <a:extLst>
            <a:ext uri="{FF2B5EF4-FFF2-40B4-BE49-F238E27FC236}">
              <a16:creationId xmlns:a16="http://schemas.microsoft.com/office/drawing/2014/main" id="{00000000-0008-0000-0A00-00002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5" name="AutoShape 4">
          <a:extLst>
            <a:ext uri="{FF2B5EF4-FFF2-40B4-BE49-F238E27FC236}">
              <a16:creationId xmlns:a16="http://schemas.microsoft.com/office/drawing/2014/main" id="{00000000-0008-0000-0A00-00002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466725</xdr:colOff>
      <xdr:row>52</xdr:row>
      <xdr:rowOff>9525</xdr:rowOff>
    </xdr:to>
    <xdr:sp macro="" textlink="">
      <xdr:nvSpPr>
        <xdr:cNvPr id="36" name="AutoShape 2">
          <a:extLst>
            <a:ext uri="{FF2B5EF4-FFF2-40B4-BE49-F238E27FC236}">
              <a16:creationId xmlns:a16="http://schemas.microsoft.com/office/drawing/2014/main" id="{00000000-0008-0000-0A00-00002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1676400</xdr:colOff>
      <xdr:row>53</xdr:row>
      <xdr:rowOff>152400</xdr:rowOff>
    </xdr:to>
    <xdr:sp macro="" textlink="">
      <xdr:nvSpPr>
        <xdr:cNvPr id="9222" name="_x0000_t202" hidden="1">
          <a:extLst>
            <a:ext uri="{FF2B5EF4-FFF2-40B4-BE49-F238E27FC236}">
              <a16:creationId xmlns:a16="http://schemas.microsoft.com/office/drawing/2014/main" id="{00000000-0008-0000-0B00-0000062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9220" name="_x0000_t202" hidden="1">
          <a:extLst>
            <a:ext uri="{FF2B5EF4-FFF2-40B4-BE49-F238E27FC236}">
              <a16:creationId xmlns:a16="http://schemas.microsoft.com/office/drawing/2014/main" id="{00000000-0008-0000-0B00-0000042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9218" name="_x0000_t202" hidden="1">
          <a:extLst>
            <a:ext uri="{FF2B5EF4-FFF2-40B4-BE49-F238E27FC236}">
              <a16:creationId xmlns:a16="http://schemas.microsoft.com/office/drawing/2014/main" id="{00000000-0008-0000-0B00-0000022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 name="AutoShape 6">
          <a:extLst>
            <a:ext uri="{FF2B5EF4-FFF2-40B4-BE49-F238E27FC236}">
              <a16:creationId xmlns:a16="http://schemas.microsoft.com/office/drawing/2014/main" id="{00000000-0008-0000-0B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3" name="AutoShape 4">
          <a:extLst>
            <a:ext uri="{FF2B5EF4-FFF2-40B4-BE49-F238E27FC236}">
              <a16:creationId xmlns:a16="http://schemas.microsoft.com/office/drawing/2014/main" id="{00000000-0008-0000-0B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4" name="AutoShape 2">
          <a:extLst>
            <a:ext uri="{FF2B5EF4-FFF2-40B4-BE49-F238E27FC236}">
              <a16:creationId xmlns:a16="http://schemas.microsoft.com/office/drawing/2014/main" id="{00000000-0008-0000-0B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5" name="AutoShape 6">
          <a:extLst>
            <a:ext uri="{FF2B5EF4-FFF2-40B4-BE49-F238E27FC236}">
              <a16:creationId xmlns:a16="http://schemas.microsoft.com/office/drawing/2014/main" id="{00000000-0008-0000-0B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6" name="AutoShape 4">
          <a:extLst>
            <a:ext uri="{FF2B5EF4-FFF2-40B4-BE49-F238E27FC236}">
              <a16:creationId xmlns:a16="http://schemas.microsoft.com/office/drawing/2014/main" id="{00000000-0008-0000-0B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7" name="AutoShape 2">
          <a:extLst>
            <a:ext uri="{FF2B5EF4-FFF2-40B4-BE49-F238E27FC236}">
              <a16:creationId xmlns:a16="http://schemas.microsoft.com/office/drawing/2014/main" id="{00000000-0008-0000-0B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8" name="AutoShape 6">
          <a:extLst>
            <a:ext uri="{FF2B5EF4-FFF2-40B4-BE49-F238E27FC236}">
              <a16:creationId xmlns:a16="http://schemas.microsoft.com/office/drawing/2014/main" id="{00000000-0008-0000-0B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9" name="AutoShape 4">
          <a:extLst>
            <a:ext uri="{FF2B5EF4-FFF2-40B4-BE49-F238E27FC236}">
              <a16:creationId xmlns:a16="http://schemas.microsoft.com/office/drawing/2014/main" id="{00000000-0008-0000-0B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0" name="AutoShape 2">
          <a:extLst>
            <a:ext uri="{FF2B5EF4-FFF2-40B4-BE49-F238E27FC236}">
              <a16:creationId xmlns:a16="http://schemas.microsoft.com/office/drawing/2014/main" id="{00000000-0008-0000-0B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1" name="AutoShape 6">
          <a:extLst>
            <a:ext uri="{FF2B5EF4-FFF2-40B4-BE49-F238E27FC236}">
              <a16:creationId xmlns:a16="http://schemas.microsoft.com/office/drawing/2014/main" id="{00000000-0008-0000-0B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2" name="AutoShape 4">
          <a:extLst>
            <a:ext uri="{FF2B5EF4-FFF2-40B4-BE49-F238E27FC236}">
              <a16:creationId xmlns:a16="http://schemas.microsoft.com/office/drawing/2014/main" id="{00000000-0008-0000-0B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3" name="AutoShape 2">
          <a:extLst>
            <a:ext uri="{FF2B5EF4-FFF2-40B4-BE49-F238E27FC236}">
              <a16:creationId xmlns:a16="http://schemas.microsoft.com/office/drawing/2014/main" id="{00000000-0008-0000-0B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4" name="AutoShape 6">
          <a:extLst>
            <a:ext uri="{FF2B5EF4-FFF2-40B4-BE49-F238E27FC236}">
              <a16:creationId xmlns:a16="http://schemas.microsoft.com/office/drawing/2014/main" id="{00000000-0008-0000-0B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5" name="AutoShape 4">
          <a:extLst>
            <a:ext uri="{FF2B5EF4-FFF2-40B4-BE49-F238E27FC236}">
              <a16:creationId xmlns:a16="http://schemas.microsoft.com/office/drawing/2014/main" id="{00000000-0008-0000-0B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6" name="AutoShape 2">
          <a:extLst>
            <a:ext uri="{FF2B5EF4-FFF2-40B4-BE49-F238E27FC236}">
              <a16:creationId xmlns:a16="http://schemas.microsoft.com/office/drawing/2014/main" id="{00000000-0008-0000-0B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7" name="AutoShape 6">
          <a:extLst>
            <a:ext uri="{FF2B5EF4-FFF2-40B4-BE49-F238E27FC236}">
              <a16:creationId xmlns:a16="http://schemas.microsoft.com/office/drawing/2014/main" id="{00000000-0008-0000-0B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8" name="AutoShape 4">
          <a:extLst>
            <a:ext uri="{FF2B5EF4-FFF2-40B4-BE49-F238E27FC236}">
              <a16:creationId xmlns:a16="http://schemas.microsoft.com/office/drawing/2014/main" id="{00000000-0008-0000-0B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19" name="AutoShape 2">
          <a:extLst>
            <a:ext uri="{FF2B5EF4-FFF2-40B4-BE49-F238E27FC236}">
              <a16:creationId xmlns:a16="http://schemas.microsoft.com/office/drawing/2014/main" id="{00000000-0008-0000-0B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0" name="AutoShape 6">
          <a:extLst>
            <a:ext uri="{FF2B5EF4-FFF2-40B4-BE49-F238E27FC236}">
              <a16:creationId xmlns:a16="http://schemas.microsoft.com/office/drawing/2014/main" id="{00000000-0008-0000-0B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1" name="AutoShape 4">
          <a:extLst>
            <a:ext uri="{FF2B5EF4-FFF2-40B4-BE49-F238E27FC236}">
              <a16:creationId xmlns:a16="http://schemas.microsoft.com/office/drawing/2014/main" id="{00000000-0008-0000-0B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2" name="AutoShape 2">
          <a:extLst>
            <a:ext uri="{FF2B5EF4-FFF2-40B4-BE49-F238E27FC236}">
              <a16:creationId xmlns:a16="http://schemas.microsoft.com/office/drawing/2014/main" id="{00000000-0008-0000-0B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3" name="AutoShape 6">
          <a:extLst>
            <a:ext uri="{FF2B5EF4-FFF2-40B4-BE49-F238E27FC236}">
              <a16:creationId xmlns:a16="http://schemas.microsoft.com/office/drawing/2014/main" id="{00000000-0008-0000-0B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4" name="AutoShape 4">
          <a:extLst>
            <a:ext uri="{FF2B5EF4-FFF2-40B4-BE49-F238E27FC236}">
              <a16:creationId xmlns:a16="http://schemas.microsoft.com/office/drawing/2014/main" id="{00000000-0008-0000-0B00-00001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5" name="AutoShape 2">
          <a:extLst>
            <a:ext uri="{FF2B5EF4-FFF2-40B4-BE49-F238E27FC236}">
              <a16:creationId xmlns:a16="http://schemas.microsoft.com/office/drawing/2014/main" id="{00000000-0008-0000-0B00-00001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6" name="AutoShape 6">
          <a:extLst>
            <a:ext uri="{FF2B5EF4-FFF2-40B4-BE49-F238E27FC236}">
              <a16:creationId xmlns:a16="http://schemas.microsoft.com/office/drawing/2014/main" id="{00000000-0008-0000-0B00-00001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7" name="AutoShape 4">
          <a:extLst>
            <a:ext uri="{FF2B5EF4-FFF2-40B4-BE49-F238E27FC236}">
              <a16:creationId xmlns:a16="http://schemas.microsoft.com/office/drawing/2014/main" id="{00000000-0008-0000-0B00-00001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8" name="AutoShape 2">
          <a:extLst>
            <a:ext uri="{FF2B5EF4-FFF2-40B4-BE49-F238E27FC236}">
              <a16:creationId xmlns:a16="http://schemas.microsoft.com/office/drawing/2014/main" id="{00000000-0008-0000-0B00-00001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29" name="AutoShape 6">
          <a:extLst>
            <a:ext uri="{FF2B5EF4-FFF2-40B4-BE49-F238E27FC236}">
              <a16:creationId xmlns:a16="http://schemas.microsoft.com/office/drawing/2014/main" id="{00000000-0008-0000-0B00-00001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30" name="AutoShape 4">
          <a:extLst>
            <a:ext uri="{FF2B5EF4-FFF2-40B4-BE49-F238E27FC236}">
              <a16:creationId xmlns:a16="http://schemas.microsoft.com/office/drawing/2014/main" id="{00000000-0008-0000-0B00-00001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1676400</xdr:colOff>
      <xdr:row>53</xdr:row>
      <xdr:rowOff>152400</xdr:rowOff>
    </xdr:to>
    <xdr:sp macro="" textlink="">
      <xdr:nvSpPr>
        <xdr:cNvPr id="31" name="AutoShape 2">
          <a:extLst>
            <a:ext uri="{FF2B5EF4-FFF2-40B4-BE49-F238E27FC236}">
              <a16:creationId xmlns:a16="http://schemas.microsoft.com/office/drawing/2014/main" id="{00000000-0008-0000-0B00-00001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1.bin"/><Relationship Id="rId1" Type="http://schemas.openxmlformats.org/officeDocument/2006/relationships/hyperlink" Target="https://www.sinduscon-rio.com.br/"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5.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6.x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drawing" Target="../drawings/drawing17.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8.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9.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2:A81"/>
  <sheetViews>
    <sheetView showGridLines="0" topLeftCell="A23" workbookViewId="0">
      <selection activeCell="A30" sqref="A30"/>
    </sheetView>
  </sheetViews>
  <sheetFormatPr defaultRowHeight="12.5" x14ac:dyDescent="0.25"/>
  <cols>
    <col min="1" max="1" width="163" customWidth="1"/>
  </cols>
  <sheetData>
    <row r="2" spans="1:1" ht="13" x14ac:dyDescent="0.3">
      <c r="A2" s="835" t="s">
        <v>0</v>
      </c>
    </row>
    <row r="3" spans="1:1" ht="23" x14ac:dyDescent="0.25">
      <c r="A3" s="833" t="s">
        <v>1</v>
      </c>
    </row>
    <row r="4" spans="1:1" ht="14.5" customHeight="1" x14ac:dyDescent="0.25">
      <c r="A4" s="833" t="s">
        <v>2</v>
      </c>
    </row>
    <row r="5" spans="1:1" ht="14.5" customHeight="1" x14ac:dyDescent="0.25">
      <c r="A5" s="833"/>
    </row>
    <row r="6" spans="1:1" ht="13" x14ac:dyDescent="0.3">
      <c r="A6" s="835" t="s">
        <v>3</v>
      </c>
    </row>
    <row r="7" spans="1:1" ht="52" x14ac:dyDescent="0.3">
      <c r="A7" s="834" t="s">
        <v>4</v>
      </c>
    </row>
    <row r="8" spans="1:1" ht="13" x14ac:dyDescent="0.3">
      <c r="A8" s="836" t="s">
        <v>5</v>
      </c>
    </row>
    <row r="9" spans="1:1" ht="23" x14ac:dyDescent="0.25">
      <c r="A9" s="833" t="s">
        <v>6</v>
      </c>
    </row>
    <row r="10" spans="1:1" ht="13" x14ac:dyDescent="0.3">
      <c r="A10" s="838" t="s">
        <v>7</v>
      </c>
    </row>
    <row r="11" spans="1:1" ht="48" x14ac:dyDescent="0.25">
      <c r="A11" s="915" t="s">
        <v>8</v>
      </c>
    </row>
    <row r="12" spans="1:1" ht="36.5" x14ac:dyDescent="0.25">
      <c r="A12" s="915" t="s">
        <v>9</v>
      </c>
    </row>
    <row r="13" spans="1:1" ht="13" x14ac:dyDescent="0.3">
      <c r="A13" s="834"/>
    </row>
    <row r="14" spans="1:1" x14ac:dyDescent="0.25">
      <c r="A14" s="840" t="s">
        <v>10</v>
      </c>
    </row>
    <row r="15" spans="1:1" x14ac:dyDescent="0.25">
      <c r="A15" s="840"/>
    </row>
    <row r="16" spans="1:1" x14ac:dyDescent="0.25">
      <c r="A16" s="833" t="s">
        <v>11</v>
      </c>
    </row>
    <row r="18" spans="1:1" ht="34.5" x14ac:dyDescent="0.25">
      <c r="A18" s="837" t="s">
        <v>12</v>
      </c>
    </row>
    <row r="19" spans="1:1" ht="13" x14ac:dyDescent="0.3">
      <c r="A19" s="834"/>
    </row>
    <row r="20" spans="1:1" ht="13" x14ac:dyDescent="0.3">
      <c r="A20" s="838" t="s">
        <v>13</v>
      </c>
    </row>
    <row r="21" spans="1:1" ht="23" x14ac:dyDescent="0.25">
      <c r="A21" s="837" t="s">
        <v>14</v>
      </c>
    </row>
    <row r="22" spans="1:1" ht="13" x14ac:dyDescent="0.3">
      <c r="A22" s="834"/>
    </row>
    <row r="23" spans="1:1" ht="13" x14ac:dyDescent="0.3">
      <c r="A23" s="838" t="s">
        <v>15</v>
      </c>
    </row>
    <row r="24" spans="1:1" ht="23" x14ac:dyDescent="0.25">
      <c r="A24" s="837" t="s">
        <v>16</v>
      </c>
    </row>
    <row r="25" spans="1:1" ht="13" x14ac:dyDescent="0.3">
      <c r="A25" s="834"/>
    </row>
    <row r="26" spans="1:1" ht="13" x14ac:dyDescent="0.3">
      <c r="A26" s="838" t="s">
        <v>17</v>
      </c>
    </row>
    <row r="27" spans="1:1" ht="23" x14ac:dyDescent="0.25">
      <c r="A27" s="833" t="s">
        <v>18</v>
      </c>
    </row>
    <row r="28" spans="1:1" ht="13" x14ac:dyDescent="0.3">
      <c r="A28" s="838" t="s">
        <v>19</v>
      </c>
    </row>
    <row r="29" spans="1:1" ht="23" x14ac:dyDescent="0.25">
      <c r="A29" s="842" t="s">
        <v>20</v>
      </c>
    </row>
    <row r="30" spans="1:1" x14ac:dyDescent="0.25">
      <c r="A30" s="843" t="s">
        <v>21</v>
      </c>
    </row>
    <row r="31" spans="1:1" ht="34.5" x14ac:dyDescent="0.25">
      <c r="A31" s="842" t="s">
        <v>22</v>
      </c>
    </row>
    <row r="32" spans="1:1" ht="13.5" thickBot="1" x14ac:dyDescent="0.35">
      <c r="A32" s="838" t="s">
        <v>23</v>
      </c>
    </row>
    <row r="33" spans="1:1" ht="13.5" thickBot="1" x14ac:dyDescent="0.3">
      <c r="A33" s="844" t="s">
        <v>24</v>
      </c>
    </row>
    <row r="34" spans="1:1" ht="15.5" thickBot="1" x14ac:dyDescent="0.3">
      <c r="A34" s="845" t="s">
        <v>25</v>
      </c>
    </row>
    <row r="35" spans="1:1" ht="15.5" thickBot="1" x14ac:dyDescent="0.3">
      <c r="A35" s="845" t="s">
        <v>26</v>
      </c>
    </row>
    <row r="36" spans="1:1" ht="15.5" thickBot="1" x14ac:dyDescent="0.3">
      <c r="A36" s="845" t="s">
        <v>27</v>
      </c>
    </row>
    <row r="37" spans="1:1" ht="13" x14ac:dyDescent="0.3">
      <c r="A37" s="838" t="s">
        <v>28</v>
      </c>
    </row>
    <row r="38" spans="1:1" ht="34.5" x14ac:dyDescent="0.25">
      <c r="A38" s="846" t="s">
        <v>29</v>
      </c>
    </row>
    <row r="39" spans="1:1" x14ac:dyDescent="0.25">
      <c r="A39" s="846"/>
    </row>
    <row r="40" spans="1:1" x14ac:dyDescent="0.25">
      <c r="A40" s="842" t="s">
        <v>2</v>
      </c>
    </row>
    <row r="41" spans="1:1" ht="23" x14ac:dyDescent="0.25">
      <c r="A41" s="842" t="s">
        <v>30</v>
      </c>
    </row>
    <row r="42" spans="1:1" x14ac:dyDescent="0.25">
      <c r="A42" s="847"/>
    </row>
    <row r="43" spans="1:1" ht="34.5" x14ac:dyDescent="0.25">
      <c r="A43" s="842" t="s">
        <v>31</v>
      </c>
    </row>
    <row r="44" spans="1:1" x14ac:dyDescent="0.25">
      <c r="A44" s="841"/>
    </row>
    <row r="45" spans="1:1" x14ac:dyDescent="0.25">
      <c r="A45" s="842" t="s">
        <v>32</v>
      </c>
    </row>
    <row r="46" spans="1:1" ht="13" x14ac:dyDescent="0.3">
      <c r="A46" s="838" t="s">
        <v>33</v>
      </c>
    </row>
    <row r="47" spans="1:1" ht="46" x14ac:dyDescent="0.25">
      <c r="A47" s="849" t="s">
        <v>34</v>
      </c>
    </row>
    <row r="48" spans="1:1" ht="13" x14ac:dyDescent="0.3">
      <c r="A48" s="838" t="s">
        <v>35</v>
      </c>
    </row>
    <row r="49" spans="1:1" ht="23" x14ac:dyDescent="0.25">
      <c r="A49" s="840" t="s">
        <v>36</v>
      </c>
    </row>
    <row r="50" spans="1:1" x14ac:dyDescent="0.25">
      <c r="A50" s="840"/>
    </row>
    <row r="51" spans="1:1" ht="23" x14ac:dyDescent="0.25">
      <c r="A51" s="840" t="s">
        <v>37</v>
      </c>
    </row>
    <row r="52" spans="1:1" x14ac:dyDescent="0.25">
      <c r="A52" s="840"/>
    </row>
    <row r="53" spans="1:1" ht="46" x14ac:dyDescent="0.25">
      <c r="A53" s="840" t="s">
        <v>38</v>
      </c>
    </row>
    <row r="54" spans="1:1" ht="23" x14ac:dyDescent="0.25">
      <c r="A54" s="840" t="s">
        <v>39</v>
      </c>
    </row>
    <row r="55" spans="1:1" ht="13" x14ac:dyDescent="0.3">
      <c r="A55" s="851"/>
    </row>
    <row r="56" spans="1:1" ht="34.5" x14ac:dyDescent="0.25">
      <c r="A56" s="848" t="s">
        <v>40</v>
      </c>
    </row>
    <row r="57" spans="1:1" ht="40.15" customHeight="1" x14ac:dyDescent="0.25">
      <c r="A57" s="848" t="s">
        <v>41</v>
      </c>
    </row>
    <row r="58" spans="1:1" ht="13" x14ac:dyDescent="0.3">
      <c r="A58" s="851"/>
    </row>
    <row r="59" spans="1:1" x14ac:dyDescent="0.25">
      <c r="A59" s="852" t="s">
        <v>42</v>
      </c>
    </row>
    <row r="60" spans="1:1" ht="13" x14ac:dyDescent="0.3">
      <c r="A60" s="851"/>
    </row>
    <row r="61" spans="1:1" ht="23" x14ac:dyDescent="0.25">
      <c r="A61" s="837" t="s">
        <v>43</v>
      </c>
    </row>
    <row r="62" spans="1:1" ht="13" x14ac:dyDescent="0.3">
      <c r="A62" s="834"/>
    </row>
    <row r="63" spans="1:1" ht="38" x14ac:dyDescent="0.25">
      <c r="A63" s="848" t="s">
        <v>44</v>
      </c>
    </row>
    <row r="65" spans="1:1" ht="23" x14ac:dyDescent="0.25">
      <c r="A65" s="854" t="s">
        <v>45</v>
      </c>
    </row>
    <row r="66" spans="1:1" ht="34.5" x14ac:dyDescent="0.25">
      <c r="A66" s="853" t="s">
        <v>46</v>
      </c>
    </row>
    <row r="67" spans="1:1" x14ac:dyDescent="0.25">
      <c r="A67" s="850"/>
    </row>
    <row r="68" spans="1:1" ht="13.5" x14ac:dyDescent="0.25">
      <c r="A68" s="852" t="s">
        <v>47</v>
      </c>
    </row>
    <row r="69" spans="1:1" x14ac:dyDescent="0.25">
      <c r="A69" s="850"/>
    </row>
    <row r="70" spans="1:1" ht="13" x14ac:dyDescent="0.3">
      <c r="A70" s="838" t="s">
        <v>48</v>
      </c>
    </row>
    <row r="71" spans="1:1" x14ac:dyDescent="0.25">
      <c r="A71" s="849" t="s">
        <v>49</v>
      </c>
    </row>
    <row r="72" spans="1:1" x14ac:dyDescent="0.25">
      <c r="A72" s="849"/>
    </row>
    <row r="73" spans="1:1" ht="34.5" x14ac:dyDescent="0.25">
      <c r="A73" s="849" t="s">
        <v>50</v>
      </c>
    </row>
    <row r="74" spans="1:1" x14ac:dyDescent="0.25">
      <c r="A74" s="847"/>
    </row>
    <row r="75" spans="1:1" x14ac:dyDescent="0.25">
      <c r="A75" s="855" t="s">
        <v>51</v>
      </c>
    </row>
    <row r="76" spans="1:1" x14ac:dyDescent="0.25">
      <c r="A76" s="847"/>
    </row>
    <row r="77" spans="1:1" ht="23" x14ac:dyDescent="0.25">
      <c r="A77" s="839" t="s">
        <v>52</v>
      </c>
    </row>
    <row r="78" spans="1:1" x14ac:dyDescent="0.25">
      <c r="A78" s="847"/>
    </row>
    <row r="79" spans="1:1" ht="34.5" x14ac:dyDescent="0.25">
      <c r="A79" s="849" t="s">
        <v>53</v>
      </c>
    </row>
    <row r="81" spans="1:1" x14ac:dyDescent="0.25">
      <c r="A81" s="855" t="s">
        <v>54</v>
      </c>
    </row>
  </sheetData>
  <hyperlinks>
    <hyperlink ref="A65" location="_ftn1" display="_ftn1" xr:uid="{00000000-0004-0000-0000-000000000000}"/>
  </hyperlinks>
  <pageMargins left="0.511811024" right="0.511811024" top="0.78740157499999996" bottom="0.78740157499999996" header="0.31496062000000002" footer="0.31496062000000002"/>
  <pageSetup paperSize="9" orientation="portrait" verticalDpi="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B3:K25"/>
  <sheetViews>
    <sheetView topLeftCell="A11" workbookViewId="0">
      <selection activeCell="G27" sqref="G27"/>
    </sheetView>
  </sheetViews>
  <sheetFormatPr defaultRowHeight="12.5" x14ac:dyDescent="0.25"/>
  <cols>
    <col min="1" max="1" width="7.453125" customWidth="1"/>
    <col min="2" max="2" width="23.453125" customWidth="1"/>
    <col min="3" max="3" width="19" customWidth="1"/>
    <col min="4" max="4" width="23.54296875" customWidth="1"/>
    <col min="5" max="5" width="19.54296875" customWidth="1"/>
    <col min="6" max="6" width="24.1796875" customWidth="1"/>
    <col min="7" max="7" width="18.7265625" customWidth="1"/>
    <col min="8" max="8" width="22.81640625" customWidth="1"/>
    <col min="9" max="9" width="15.26953125" customWidth="1"/>
    <col min="10" max="10" width="14.7265625" customWidth="1"/>
    <col min="11" max="11" width="17.7265625" customWidth="1"/>
    <col min="12" max="26" width="8.7265625" customWidth="1"/>
    <col min="27" max="1025" width="14.453125" customWidth="1"/>
  </cols>
  <sheetData>
    <row r="3" spans="2:7" ht="12.75" customHeight="1" x14ac:dyDescent="0.35">
      <c r="B3" s="949" t="s">
        <v>70</v>
      </c>
      <c r="C3" s="949"/>
      <c r="D3" s="949"/>
      <c r="E3" s="949"/>
      <c r="F3" s="949"/>
      <c r="G3" s="949"/>
    </row>
    <row r="4" spans="2:7" ht="12.75" customHeight="1" x14ac:dyDescent="0.35">
      <c r="B4" s="950" t="s">
        <v>71</v>
      </c>
      <c r="C4" s="950"/>
      <c r="D4" s="950"/>
      <c r="E4" s="950"/>
      <c r="F4" s="950"/>
      <c r="G4" s="950"/>
    </row>
    <row r="5" spans="2:7" ht="12.75" customHeight="1" x14ac:dyDescent="0.35">
      <c r="B5" s="951"/>
      <c r="C5" s="951"/>
      <c r="D5" s="951"/>
      <c r="E5" s="951"/>
      <c r="F5" s="951"/>
      <c r="G5" s="951"/>
    </row>
    <row r="6" spans="2:7" ht="12.75" customHeight="1" x14ac:dyDescent="0.3">
      <c r="B6" s="7"/>
      <c r="C6" s="327"/>
      <c r="D6" s="327"/>
      <c r="E6" s="327"/>
      <c r="F6" s="327"/>
      <c r="G6" s="327"/>
    </row>
    <row r="7" spans="2:7" ht="12.75" customHeight="1" x14ac:dyDescent="0.3">
      <c r="B7" s="7"/>
      <c r="C7" s="327"/>
      <c r="D7" s="327"/>
      <c r="E7" s="327"/>
      <c r="F7" s="327"/>
      <c r="G7" s="327"/>
    </row>
    <row r="8" spans="2:7" ht="12.75" customHeight="1" x14ac:dyDescent="0.25">
      <c r="B8" s="7"/>
      <c r="C8" s="7"/>
      <c r="D8" s="7"/>
      <c r="E8" s="7"/>
      <c r="F8" s="7"/>
      <c r="G8" s="7"/>
    </row>
    <row r="9" spans="2:7" ht="19.5" customHeight="1" x14ac:dyDescent="0.35">
      <c r="B9" s="969" t="s">
        <v>291</v>
      </c>
      <c r="C9" s="969"/>
      <c r="D9" s="969"/>
      <c r="E9" s="969"/>
      <c r="F9" s="7"/>
      <c r="G9" s="7"/>
    </row>
    <row r="10" spans="2:7" ht="15" customHeight="1" x14ac:dyDescent="0.35">
      <c r="B10" s="293"/>
      <c r="C10" s="293"/>
      <c r="D10" s="293"/>
      <c r="E10" s="293"/>
      <c r="F10" s="7"/>
      <c r="G10" s="7"/>
    </row>
    <row r="11" spans="2:7" ht="15" customHeight="1" x14ac:dyDescent="0.35">
      <c r="B11" s="105"/>
      <c r="C11" s="105"/>
      <c r="D11" s="105"/>
      <c r="E11" s="105"/>
      <c r="F11" s="7"/>
      <c r="G11" s="7"/>
    </row>
    <row r="12" spans="2:7" ht="41.25" customHeight="1" x14ac:dyDescent="0.3">
      <c r="B12" s="328" t="s">
        <v>80</v>
      </c>
      <c r="C12" s="329" t="s">
        <v>292</v>
      </c>
      <c r="D12" s="329" t="s">
        <v>293</v>
      </c>
      <c r="E12" s="329" t="s">
        <v>294</v>
      </c>
      <c r="F12" s="329" t="s">
        <v>295</v>
      </c>
      <c r="G12" s="329" t="s">
        <v>296</v>
      </c>
    </row>
    <row r="13" spans="2:7" ht="21" customHeight="1" x14ac:dyDescent="0.25">
      <c r="B13" s="330" t="s">
        <v>297</v>
      </c>
      <c r="C13" s="777">
        <f>'Anexo IV - ano 16 a 25'!D48</f>
        <v>52532.912592455468</v>
      </c>
      <c r="D13" s="331">
        <f>C13*1.2</f>
        <v>63039.495110946562</v>
      </c>
      <c r="E13" s="332">
        <f>D13*183.615</f>
        <v>11574996.894796453</v>
      </c>
      <c r="F13" s="333">
        <f>5.347*12</f>
        <v>64.164000000000001</v>
      </c>
      <c r="G13" s="334">
        <f>D13*F13</f>
        <v>4044866.1642987751</v>
      </c>
    </row>
    <row r="14" spans="2:7" ht="12.75" customHeight="1" x14ac:dyDescent="0.25">
      <c r="B14" s="1003"/>
      <c r="C14" s="1003"/>
      <c r="D14" s="1003"/>
      <c r="E14" s="7"/>
      <c r="F14" s="7"/>
      <c r="G14" s="7"/>
    </row>
    <row r="15" spans="2:7" ht="12.75" customHeight="1" x14ac:dyDescent="0.25">
      <c r="B15" s="1003"/>
      <c r="C15" s="1003"/>
      <c r="D15" s="1003"/>
      <c r="E15" s="335"/>
      <c r="F15" s="7"/>
      <c r="G15" s="7"/>
    </row>
    <row r="16" spans="2:7" ht="12.75" customHeight="1" x14ac:dyDescent="0.25">
      <c r="B16" s="7" t="s">
        <v>298</v>
      </c>
      <c r="C16" s="7"/>
      <c r="D16" s="7"/>
      <c r="E16" s="7"/>
      <c r="F16" s="7"/>
      <c r="G16" s="7"/>
    </row>
    <row r="18" spans="2:11" ht="25" customHeight="1" x14ac:dyDescent="0.35">
      <c r="B18" s="969" t="s">
        <v>299</v>
      </c>
      <c r="C18" s="969"/>
      <c r="D18" s="969"/>
      <c r="E18" s="7"/>
      <c r="F18" s="7"/>
      <c r="G18" s="7"/>
      <c r="H18" s="970"/>
      <c r="I18" s="970"/>
      <c r="J18" s="970"/>
      <c r="K18" s="970"/>
    </row>
    <row r="19" spans="2:11" ht="16.5" customHeight="1" x14ac:dyDescent="0.3">
      <c r="B19" s="336"/>
      <c r="C19" s="336" t="s">
        <v>300</v>
      </c>
      <c r="D19" s="336" t="s">
        <v>301</v>
      </c>
      <c r="E19" s="336" t="s">
        <v>302</v>
      </c>
      <c r="F19" s="336" t="s">
        <v>303</v>
      </c>
      <c r="G19" s="336" t="s">
        <v>304</v>
      </c>
      <c r="H19" s="7"/>
      <c r="I19" s="7"/>
      <c r="J19" s="7"/>
      <c r="K19" s="7"/>
    </row>
    <row r="20" spans="2:11" ht="16.5" customHeight="1" x14ac:dyDescent="0.25">
      <c r="B20" s="42" t="s">
        <v>305</v>
      </c>
      <c r="C20" s="337">
        <f>D13</f>
        <v>63039.495110946562</v>
      </c>
      <c r="D20" s="337">
        <f t="shared" ref="D20" si="0">C20</f>
        <v>63039.495110946562</v>
      </c>
      <c r="E20" s="337">
        <f t="shared" ref="E20:G21" si="1">D20</f>
        <v>63039.495110946562</v>
      </c>
      <c r="F20" s="337">
        <f t="shared" si="1"/>
        <v>63039.495110946562</v>
      </c>
      <c r="G20" s="337">
        <f t="shared" si="1"/>
        <v>63039.495110946562</v>
      </c>
      <c r="H20" s="7"/>
      <c r="I20" s="7"/>
      <c r="J20" s="7"/>
      <c r="K20" s="7"/>
    </row>
    <row r="21" spans="2:11" ht="16.5" customHeight="1" x14ac:dyDescent="0.25">
      <c r="B21" s="42" t="s">
        <v>306</v>
      </c>
      <c r="C21" s="337">
        <f>E13</f>
        <v>11574996.894796453</v>
      </c>
      <c r="D21" s="337">
        <f>C21</f>
        <v>11574996.894796453</v>
      </c>
      <c r="E21" s="337">
        <f t="shared" si="1"/>
        <v>11574996.894796453</v>
      </c>
      <c r="F21" s="337">
        <f t="shared" si="1"/>
        <v>11574996.894796453</v>
      </c>
      <c r="G21" s="337">
        <f t="shared" si="1"/>
        <v>11574996.894796453</v>
      </c>
      <c r="H21" s="7"/>
      <c r="I21" s="7"/>
      <c r="J21" s="7"/>
      <c r="K21" s="7"/>
    </row>
    <row r="22" spans="2:11" ht="16.5" customHeight="1" x14ac:dyDescent="0.25">
      <c r="B22" s="42" t="s">
        <v>307</v>
      </c>
      <c r="C22" s="337">
        <v>0</v>
      </c>
      <c r="D22" s="337">
        <f>'Anexo IV - ano 1 a 10 - inicial'!D73</f>
        <v>36371.596503069333</v>
      </c>
      <c r="E22" s="337">
        <f>'Anexo IV - ano 1 a 10 - inicial'!D73</f>
        <v>36371.596503069333</v>
      </c>
      <c r="F22" s="337">
        <f>'Anexo IV - ano 11 a 15'!D49</f>
        <v>45181.743787924184</v>
      </c>
      <c r="G22" s="337">
        <f>'Anexo IV - ano 16 a 25'!D48</f>
        <v>52532.912592455468</v>
      </c>
      <c r="H22" s="7"/>
      <c r="I22" s="7"/>
      <c r="J22" s="7"/>
      <c r="K22" s="7"/>
    </row>
    <row r="23" spans="2:11" ht="16.5" customHeight="1" x14ac:dyDescent="0.25">
      <c r="B23" s="42" t="s">
        <v>308</v>
      </c>
      <c r="C23" s="338">
        <v>0</v>
      </c>
      <c r="D23" s="338">
        <f>'Anexo V - ano 1 a 10 - inicial'!F46</f>
        <v>36969398.778532833</v>
      </c>
      <c r="E23" s="338">
        <f>'Anexo V - ano 1 a 10 - inicial'!F46</f>
        <v>36969398.778532833</v>
      </c>
      <c r="F23" s="338">
        <f>E23+'Anexo V - ano 11 a 15'!H46</f>
        <v>47891625.762167707</v>
      </c>
      <c r="G23" s="338">
        <f>F23+'Anexo V - ano 16 a 25'!H46</f>
        <v>55320528.214547068</v>
      </c>
      <c r="H23" s="7"/>
      <c r="I23" s="7"/>
      <c r="J23" s="7"/>
      <c r="K23" s="7"/>
    </row>
    <row r="24" spans="2:11" ht="16.5" customHeight="1" x14ac:dyDescent="0.25">
      <c r="B24" s="42" t="s">
        <v>309</v>
      </c>
      <c r="C24" s="338">
        <f>C21+C23</f>
        <v>11574996.894796453</v>
      </c>
      <c r="D24" s="338">
        <f>D21+D23</f>
        <v>48544395.673329286</v>
      </c>
      <c r="E24" s="338">
        <f>E21+E23</f>
        <v>48544395.673329286</v>
      </c>
      <c r="F24" s="338">
        <f>F21+F23</f>
        <v>59466622.656964161</v>
      </c>
      <c r="G24" s="338">
        <f>G21+G23</f>
        <v>66895525.109343521</v>
      </c>
      <c r="H24" s="7"/>
      <c r="I24" s="7"/>
      <c r="J24" s="7"/>
      <c r="K24" s="7"/>
    </row>
    <row r="25" spans="2:11" ht="16.5" customHeight="1" x14ac:dyDescent="0.25">
      <c r="B25" s="42" t="s">
        <v>310</v>
      </c>
      <c r="C25" s="763">
        <f>C24*0.0087</f>
        <v>100702.47298472913</v>
      </c>
      <c r="D25" s="763">
        <f>D24*0.0087</f>
        <v>422336.24235796474</v>
      </c>
      <c r="E25" s="763">
        <f>E24*0.0087</f>
        <v>422336.24235796474</v>
      </c>
      <c r="F25" s="763">
        <f>F24*0.0087</f>
        <v>517359.61711558816</v>
      </c>
      <c r="G25" s="763">
        <f>G24*0.0087</f>
        <v>581991.06845128862</v>
      </c>
      <c r="H25" s="7"/>
      <c r="I25" s="7"/>
      <c r="J25" s="7"/>
      <c r="K25" s="7"/>
    </row>
  </sheetData>
  <mergeCells count="8">
    <mergeCell ref="B15:D15"/>
    <mergeCell ref="B18:D18"/>
    <mergeCell ref="H18:K18"/>
    <mergeCell ref="B3:G3"/>
    <mergeCell ref="B4:G4"/>
    <mergeCell ref="B5:G5"/>
    <mergeCell ref="B9:E9"/>
    <mergeCell ref="B14:D14"/>
  </mergeCells>
  <pageMargins left="0.51180555555555496" right="0.51180555555555496" top="0.78749999999999998" bottom="0.78749999999999998" header="0.51180555555555496" footer="0.51180555555555496"/>
  <pageSetup paperSize="9" firstPageNumber="0" orientation="portrait" horizontalDpi="300" verticalDpi="300"/>
  <drawing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3:M87"/>
  <sheetViews>
    <sheetView topLeftCell="A41" workbookViewId="0">
      <selection activeCell="A42" sqref="A42"/>
    </sheetView>
  </sheetViews>
  <sheetFormatPr defaultRowHeight="12.5" x14ac:dyDescent="0.25"/>
  <cols>
    <col min="1" max="1" width="4" customWidth="1"/>
    <col min="2" max="2" width="2" customWidth="1"/>
    <col min="3" max="3" width="15" customWidth="1"/>
    <col min="4" max="4" width="30.1796875" customWidth="1"/>
    <col min="5" max="5" width="24.81640625" customWidth="1"/>
    <col min="6" max="6" width="23.54296875" customWidth="1"/>
    <col min="7" max="7" width="20.453125" customWidth="1"/>
    <col min="8" max="8" width="26.453125" customWidth="1"/>
    <col min="9" max="9" width="21.26953125" customWidth="1"/>
    <col min="10" max="10" width="19.54296875" customWidth="1"/>
    <col min="11" max="11" width="24.54296875" customWidth="1"/>
    <col min="12" max="13" width="19.54296875" customWidth="1"/>
    <col min="14" max="14" width="9.7265625" customWidth="1"/>
    <col min="15" max="15" width="14.1796875" customWidth="1"/>
    <col min="16" max="16" width="20" customWidth="1"/>
    <col min="17" max="26" width="8.7265625" customWidth="1"/>
    <col min="27" max="1025" width="14.453125" customWidth="1"/>
  </cols>
  <sheetData>
    <row r="3" spans="2:9" ht="12.75" customHeight="1" x14ac:dyDescent="0.35">
      <c r="B3" s="7"/>
      <c r="C3" s="7"/>
      <c r="D3" s="949" t="s">
        <v>70</v>
      </c>
      <c r="E3" s="949"/>
      <c r="F3" s="949"/>
      <c r="G3" s="949"/>
      <c r="H3" s="7"/>
      <c r="I3" s="7"/>
    </row>
    <row r="4" spans="2:9" ht="12.75" customHeight="1" x14ac:dyDescent="0.35">
      <c r="B4" s="7"/>
      <c r="C4" s="7"/>
      <c r="D4" s="950" t="s">
        <v>71</v>
      </c>
      <c r="E4" s="950"/>
      <c r="F4" s="950"/>
      <c r="G4" s="950"/>
      <c r="H4" s="7"/>
      <c r="I4" s="7"/>
    </row>
    <row r="5" spans="2:9" ht="12.75" customHeight="1" x14ac:dyDescent="0.35">
      <c r="B5" s="7"/>
      <c r="C5" s="7"/>
      <c r="D5" s="951"/>
      <c r="E5" s="951"/>
      <c r="F5" s="951"/>
      <c r="G5" s="951"/>
      <c r="H5" s="7"/>
      <c r="I5" s="7"/>
    </row>
    <row r="6" spans="2:9" ht="12.75" customHeight="1" x14ac:dyDescent="0.3">
      <c r="B6" s="7"/>
      <c r="C6" s="7"/>
      <c r="D6" s="7"/>
      <c r="E6" s="7"/>
      <c r="F6" s="1008"/>
      <c r="G6" s="1008"/>
      <c r="H6" s="1008"/>
      <c r="I6" s="1008"/>
    </row>
    <row r="7" spans="2:9" ht="12.75" customHeight="1" x14ac:dyDescent="0.3">
      <c r="B7" s="7"/>
      <c r="C7" s="7"/>
      <c r="D7" s="7"/>
      <c r="E7" s="7"/>
      <c r="F7" s="1008"/>
      <c r="G7" s="1008"/>
      <c r="H7" s="1008"/>
      <c r="I7" s="1008"/>
    </row>
    <row r="8" spans="2:9" ht="12.75" customHeight="1" x14ac:dyDescent="0.35">
      <c r="B8" s="7"/>
      <c r="C8" s="969" t="s">
        <v>311</v>
      </c>
      <c r="D8" s="969"/>
      <c r="E8" s="969"/>
      <c r="F8" s="969"/>
      <c r="G8" s="969"/>
      <c r="H8" s="119"/>
      <c r="I8" s="119"/>
    </row>
    <row r="9" spans="2:9" ht="12.75" customHeight="1" x14ac:dyDescent="0.3">
      <c r="B9" s="7"/>
      <c r="C9" s="7"/>
      <c r="D9" s="7"/>
      <c r="E9" s="7"/>
      <c r="F9" s="119"/>
      <c r="G9" s="119"/>
      <c r="H9" s="119"/>
      <c r="I9" s="119"/>
    </row>
    <row r="10" spans="2:9" ht="12.75" customHeight="1" thickBot="1" x14ac:dyDescent="0.3">
      <c r="B10" s="7"/>
      <c r="C10" s="7"/>
      <c r="D10" s="7"/>
      <c r="E10" s="7"/>
      <c r="F10" s="7"/>
      <c r="G10" s="7"/>
      <c r="H10" s="7"/>
      <c r="I10" s="7"/>
    </row>
    <row r="11" spans="2:9" ht="12.75" customHeight="1" thickBot="1" x14ac:dyDescent="0.4">
      <c r="B11" s="339">
        <v>1</v>
      </c>
      <c r="C11" s="1007" t="s">
        <v>312</v>
      </c>
      <c r="D11" s="1007"/>
      <c r="E11" s="340"/>
      <c r="F11" s="290"/>
      <c r="G11" s="290"/>
      <c r="H11" s="7"/>
      <c r="I11" s="7"/>
    </row>
    <row r="12" spans="2:9" ht="15" customHeight="1" x14ac:dyDescent="0.3">
      <c r="B12" s="7"/>
      <c r="C12" s="341" t="s">
        <v>80</v>
      </c>
      <c r="D12" s="114" t="s">
        <v>313</v>
      </c>
      <c r="E12" s="341" t="s">
        <v>314</v>
      </c>
      <c r="F12" s="341" t="s">
        <v>315</v>
      </c>
      <c r="G12" s="341" t="s">
        <v>296</v>
      </c>
      <c r="H12" s="7"/>
      <c r="I12" s="7"/>
    </row>
    <row r="13" spans="2:9" ht="15" customHeight="1" x14ac:dyDescent="0.3">
      <c r="B13" s="7"/>
      <c r="C13" s="301" t="s">
        <v>316</v>
      </c>
      <c r="D13" s="302">
        <v>2</v>
      </c>
      <c r="E13" s="302">
        <v>2</v>
      </c>
      <c r="F13" s="342">
        <f>(D13*12699.48)+(E13*14354.45)/0.9</f>
        <v>57297.737777777773</v>
      </c>
      <c r="G13" s="311">
        <f>F13*12</f>
        <v>687572.85333333327</v>
      </c>
      <c r="H13" s="7"/>
      <c r="I13" s="7"/>
    </row>
    <row r="14" spans="2:9" ht="15" customHeight="1" x14ac:dyDescent="0.3">
      <c r="B14" s="7"/>
      <c r="C14" s="301" t="s">
        <v>317</v>
      </c>
      <c r="D14" s="302">
        <v>2</v>
      </c>
      <c r="E14" s="302">
        <v>2</v>
      </c>
      <c r="F14" s="342">
        <f>(D14*12699.48)+(E14*14354.45)/0.9</f>
        <v>57297.737777777773</v>
      </c>
      <c r="G14" s="311">
        <f>F14*12</f>
        <v>687572.85333333327</v>
      </c>
      <c r="H14" s="7"/>
      <c r="I14" s="7"/>
    </row>
    <row r="15" spans="2:9" ht="15" customHeight="1" x14ac:dyDescent="0.3">
      <c r="B15" s="7"/>
      <c r="C15" s="301" t="s">
        <v>318</v>
      </c>
      <c r="D15" s="302">
        <v>2</v>
      </c>
      <c r="E15" s="302">
        <v>2</v>
      </c>
      <c r="F15" s="342">
        <f>(D15*12699.48)+(E15*14354.45)/0.9</f>
        <v>57297.737777777773</v>
      </c>
      <c r="G15" s="311">
        <f>F15*12</f>
        <v>687572.85333333327</v>
      </c>
      <c r="H15" s="7"/>
      <c r="I15" s="7"/>
    </row>
    <row r="16" spans="2:9" ht="12.75" customHeight="1" x14ac:dyDescent="0.25">
      <c r="B16" s="7"/>
      <c r="C16" s="768" t="s">
        <v>319</v>
      </c>
      <c r="D16" s="768"/>
      <c r="E16" s="7"/>
      <c r="F16" s="7"/>
      <c r="G16" s="7"/>
      <c r="H16" s="7"/>
      <c r="I16" s="7"/>
    </row>
    <row r="18" spans="2:10" ht="12.75" customHeight="1" thickBot="1" x14ac:dyDescent="0.4">
      <c r="B18" s="339">
        <v>2</v>
      </c>
      <c r="C18" s="1007" t="s">
        <v>320</v>
      </c>
      <c r="D18" s="1007"/>
      <c r="E18" s="340"/>
      <c r="F18" s="290"/>
      <c r="G18" s="290"/>
      <c r="H18" s="290"/>
      <c r="I18" s="290"/>
      <c r="J18" s="290"/>
    </row>
    <row r="19" spans="2:10" ht="15" customHeight="1" x14ac:dyDescent="0.3">
      <c r="B19" s="7"/>
      <c r="C19" s="341"/>
      <c r="D19" s="1004" t="s">
        <v>321</v>
      </c>
      <c r="E19" s="1004"/>
      <c r="F19" s="1004"/>
      <c r="G19" s="1004" t="s">
        <v>322</v>
      </c>
      <c r="H19" s="1004"/>
      <c r="I19" s="1004"/>
      <c r="J19" s="341"/>
    </row>
    <row r="20" spans="2:10" ht="15" customHeight="1" x14ac:dyDescent="0.3">
      <c r="B20" s="7"/>
      <c r="C20" s="301" t="s">
        <v>80</v>
      </c>
      <c r="D20" s="117" t="s">
        <v>323</v>
      </c>
      <c r="E20" s="117" t="s">
        <v>324</v>
      </c>
      <c r="F20" s="301" t="s">
        <v>315</v>
      </c>
      <c r="G20" s="117" t="s">
        <v>323</v>
      </c>
      <c r="H20" s="301" t="s">
        <v>324</v>
      </c>
      <c r="I20" s="301" t="s">
        <v>315</v>
      </c>
      <c r="J20" s="301" t="s">
        <v>296</v>
      </c>
    </row>
    <row r="21" spans="2:10" ht="15" customHeight="1" x14ac:dyDescent="0.3">
      <c r="B21" s="7"/>
      <c r="C21" s="301" t="s">
        <v>316</v>
      </c>
      <c r="D21" s="302">
        <f>'Anexo IV - ano 1 a 10 - inicial'!D70-'Anexo IV - ano 1 a 10 - inicial'!D66</f>
        <v>2088.25</v>
      </c>
      <c r="E21" s="343">
        <v>5.54</v>
      </c>
      <c r="F21" s="308">
        <f>E21*D21</f>
        <v>11568.905000000001</v>
      </c>
      <c r="G21" s="143">
        <f>'Anexo IV - ano 1 a 10 - inicial'!D63+'Anexo IV - ano 1 a 10 - inicial'!C53+'Anexo IV - ano 1 a 10 - inicial'!D66</f>
        <v>34283.346503069333</v>
      </c>
      <c r="H21" s="343">
        <v>1.92</v>
      </c>
      <c r="I21" s="308">
        <f>H21*G21</f>
        <v>65824.02528589312</v>
      </c>
      <c r="J21" s="303">
        <f>(F21+I21)*12</f>
        <v>928715.16343071742</v>
      </c>
    </row>
    <row r="22" spans="2:10" ht="15" customHeight="1" x14ac:dyDescent="0.3">
      <c r="B22" s="7"/>
      <c r="C22" s="301" t="s">
        <v>317</v>
      </c>
      <c r="D22" s="302">
        <f>'Anexo IV - ano 11 a 15'!D46-'Anexo IV - ano 11 a 15'!D42</f>
        <v>2465</v>
      </c>
      <c r="E22" s="343">
        <v>5.54</v>
      </c>
      <c r="F22" s="308">
        <f>E22*D22</f>
        <v>13656.1</v>
      </c>
      <c r="G22" s="143">
        <f>'Anexo IV - ano 11 a 15'!D38+'Anexo IV - ano 11 a 15'!C27+'Anexo IV - ano 11 a 15'!D42</f>
        <v>42716.743787924184</v>
      </c>
      <c r="H22" s="343">
        <v>1.92</v>
      </c>
      <c r="I22" s="308">
        <f>H22*G22</f>
        <v>82016.148072814438</v>
      </c>
      <c r="J22" s="303">
        <f>(F22+I22)*12</f>
        <v>1148066.9768737734</v>
      </c>
    </row>
    <row r="23" spans="2:10" ht="19.5" customHeight="1" x14ac:dyDescent="0.3">
      <c r="B23" s="7"/>
      <c r="C23" s="301" t="s">
        <v>318</v>
      </c>
      <c r="D23" s="302">
        <f>'Anexo IV - ano 16 a 25'!D46-'Anexo IV - ano 16 a 25'!D42</f>
        <v>2485</v>
      </c>
      <c r="E23" s="343">
        <v>5.54</v>
      </c>
      <c r="F23" s="308">
        <f>E23*D23</f>
        <v>13766.9</v>
      </c>
      <c r="G23" s="143">
        <f>'Anexo IV - ano 16 a 25'!D38+'Anexo IV - ano 16 a 25'!C27+'Anexo IV - ano 16 a 25'!D42</f>
        <v>50047.912592455468</v>
      </c>
      <c r="H23" s="343">
        <v>1.92</v>
      </c>
      <c r="I23" s="308">
        <f>H23*G23</f>
        <v>96091.99217751449</v>
      </c>
      <c r="J23" s="303">
        <f>(F23+I23)*12</f>
        <v>1318306.7061301738</v>
      </c>
    </row>
    <row r="24" spans="2:10" ht="12.75" customHeight="1" x14ac:dyDescent="0.25">
      <c r="B24" s="7"/>
      <c r="C24" s="7"/>
      <c r="D24" s="8"/>
      <c r="E24" s="7"/>
      <c r="F24" s="309"/>
      <c r="G24" s="8"/>
      <c r="H24" s="7"/>
      <c r="I24" s="309"/>
      <c r="J24" s="309"/>
    </row>
    <row r="25" spans="2:10" ht="12.75" customHeight="1" thickBot="1" x14ac:dyDescent="0.3">
      <c r="B25" s="7"/>
      <c r="C25" s="7"/>
      <c r="D25" s="8"/>
      <c r="E25" s="7"/>
      <c r="F25" s="309"/>
      <c r="G25" s="8"/>
      <c r="H25" s="7"/>
      <c r="I25" s="309"/>
      <c r="J25" s="309"/>
    </row>
    <row r="26" spans="2:10" ht="12.75" customHeight="1" thickBot="1" x14ac:dyDescent="0.4">
      <c r="B26" s="339">
        <v>3</v>
      </c>
      <c r="C26" s="1007" t="s">
        <v>325</v>
      </c>
      <c r="D26" s="1007"/>
      <c r="E26" s="340"/>
      <c r="F26" s="7"/>
      <c r="G26" s="8"/>
      <c r="H26" s="7"/>
      <c r="I26" s="7"/>
      <c r="J26" s="7"/>
    </row>
    <row r="27" spans="2:10" ht="15" customHeight="1" x14ac:dyDescent="0.3">
      <c r="B27" s="7"/>
      <c r="C27" s="341" t="s">
        <v>80</v>
      </c>
      <c r="D27" s="114" t="s">
        <v>326</v>
      </c>
      <c r="E27" s="341" t="s">
        <v>289</v>
      </c>
      <c r="F27" s="735"/>
      <c r="G27" s="8"/>
      <c r="H27" s="8"/>
      <c r="I27" s="8"/>
      <c r="J27" s="7"/>
    </row>
    <row r="28" spans="2:10" ht="15" customHeight="1" x14ac:dyDescent="0.3">
      <c r="B28" s="7"/>
      <c r="C28" s="301" t="s">
        <v>316</v>
      </c>
      <c r="D28" s="308">
        <v>31125.912</v>
      </c>
      <c r="E28" s="303">
        <f>D28*12</f>
        <v>373510.94400000002</v>
      </c>
      <c r="F28" s="7"/>
      <c r="G28" s="8"/>
      <c r="H28" s="8"/>
      <c r="I28" s="8"/>
      <c r="J28" s="7"/>
    </row>
    <row r="29" spans="2:10" ht="15" customHeight="1" x14ac:dyDescent="0.3">
      <c r="B29" s="7"/>
      <c r="C29" s="301" t="s">
        <v>317</v>
      </c>
      <c r="D29" s="308">
        <f>D28</f>
        <v>31125.912</v>
      </c>
      <c r="E29" s="303">
        <f>D29*12</f>
        <v>373510.94400000002</v>
      </c>
      <c r="F29" s="7"/>
      <c r="G29" s="8"/>
      <c r="H29" s="8"/>
      <c r="I29" s="8"/>
      <c r="J29" s="7"/>
    </row>
    <row r="30" spans="2:10" ht="15" customHeight="1" x14ac:dyDescent="0.3">
      <c r="B30" s="7"/>
      <c r="C30" s="301" t="s">
        <v>318</v>
      </c>
      <c r="D30" s="308">
        <f>D28</f>
        <v>31125.912</v>
      </c>
      <c r="E30" s="303">
        <f>D30*12</f>
        <v>373510.94400000002</v>
      </c>
      <c r="F30" s="7"/>
      <c r="G30" s="8"/>
      <c r="H30" s="8"/>
      <c r="I30" s="8"/>
      <c r="J30" s="7"/>
    </row>
    <row r="33" spans="2:5" ht="12.75" customHeight="1" thickBot="1" x14ac:dyDescent="0.4">
      <c r="B33" s="339">
        <v>4</v>
      </c>
      <c r="C33" s="1007" t="s">
        <v>327</v>
      </c>
      <c r="D33" s="1007"/>
      <c r="E33" s="340"/>
    </row>
    <row r="34" spans="2:5" ht="15" customHeight="1" x14ac:dyDescent="0.3">
      <c r="B34" s="7"/>
      <c r="C34" s="341" t="s">
        <v>80</v>
      </c>
      <c r="D34" s="114" t="s">
        <v>326</v>
      </c>
      <c r="E34" s="341" t="s">
        <v>289</v>
      </c>
    </row>
    <row r="35" spans="2:5" ht="15" customHeight="1" x14ac:dyDescent="0.3">
      <c r="B35" s="7"/>
      <c r="C35" s="301" t="s">
        <v>316</v>
      </c>
      <c r="D35" s="344">
        <v>12500</v>
      </c>
      <c r="E35" s="308">
        <f>D35*12</f>
        <v>150000</v>
      </c>
    </row>
    <row r="36" spans="2:5" ht="15" customHeight="1" x14ac:dyDescent="0.3">
      <c r="B36" s="7"/>
      <c r="C36" s="301" t="s">
        <v>317</v>
      </c>
      <c r="D36" s="344">
        <v>12500</v>
      </c>
      <c r="E36" s="308">
        <f>E35</f>
        <v>150000</v>
      </c>
    </row>
    <row r="37" spans="2:5" ht="15" customHeight="1" x14ac:dyDescent="0.3">
      <c r="B37" s="7"/>
      <c r="C37" s="301" t="s">
        <v>318</v>
      </c>
      <c r="D37" s="344">
        <v>12500</v>
      </c>
      <c r="E37" s="308">
        <f>E35</f>
        <v>150000</v>
      </c>
    </row>
    <row r="38" spans="2:5" ht="12.75" customHeight="1" x14ac:dyDescent="0.25">
      <c r="B38" s="7"/>
      <c r="C38" s="7"/>
      <c r="D38" s="309"/>
      <c r="E38" s="309"/>
    </row>
    <row r="39" spans="2:5" ht="12.75" customHeight="1" x14ac:dyDescent="0.25">
      <c r="B39" s="7"/>
      <c r="C39" s="7"/>
      <c r="D39" s="309"/>
      <c r="E39" s="309"/>
    </row>
    <row r="40" spans="2:5" ht="12.75" customHeight="1" x14ac:dyDescent="0.35">
      <c r="B40" s="339">
        <v>5</v>
      </c>
      <c r="C40" s="988" t="s">
        <v>328</v>
      </c>
      <c r="D40" s="988"/>
      <c r="E40" s="340"/>
    </row>
    <row r="41" spans="2:5" ht="15" customHeight="1" x14ac:dyDescent="0.3">
      <c r="B41" s="7"/>
      <c r="C41" s="341" t="s">
        <v>80</v>
      </c>
      <c r="D41" s="114" t="s">
        <v>326</v>
      </c>
      <c r="E41" s="341" t="s">
        <v>289</v>
      </c>
    </row>
    <row r="42" spans="2:5" ht="15" customHeight="1" x14ac:dyDescent="0.3">
      <c r="B42" s="7"/>
      <c r="C42" s="301" t="s">
        <v>316</v>
      </c>
      <c r="D42" s="308">
        <v>7778.24</v>
      </c>
      <c r="E42" s="303">
        <f>D42*12</f>
        <v>93338.880000000005</v>
      </c>
    </row>
    <row r="43" spans="2:5" ht="15" customHeight="1" x14ac:dyDescent="0.3">
      <c r="B43" s="7"/>
      <c r="C43" s="301" t="s">
        <v>317</v>
      </c>
      <c r="D43" s="308">
        <f>D42</f>
        <v>7778.24</v>
      </c>
      <c r="E43" s="303">
        <f>D43*12</f>
        <v>93338.880000000005</v>
      </c>
    </row>
    <row r="44" spans="2:5" ht="15" customHeight="1" x14ac:dyDescent="0.3">
      <c r="B44" s="7"/>
      <c r="C44" s="301" t="s">
        <v>318</v>
      </c>
      <c r="D44" s="308">
        <f>D43</f>
        <v>7778.24</v>
      </c>
      <c r="E44" s="303">
        <f>D44*12</f>
        <v>93338.880000000005</v>
      </c>
    </row>
    <row r="45" spans="2:5" ht="12.75" customHeight="1" x14ac:dyDescent="0.25">
      <c r="B45" s="7"/>
      <c r="C45" s="7"/>
      <c r="D45" s="309"/>
      <c r="E45" s="309"/>
    </row>
    <row r="46" spans="2:5" ht="12.75" customHeight="1" x14ac:dyDescent="0.25">
      <c r="B46" s="7"/>
      <c r="C46" s="7"/>
      <c r="D46" s="7"/>
      <c r="E46" s="7"/>
    </row>
    <row r="47" spans="2:5" ht="16.5" customHeight="1" x14ac:dyDescent="0.35">
      <c r="B47" s="339">
        <v>6</v>
      </c>
      <c r="C47" s="1007" t="s">
        <v>329</v>
      </c>
      <c r="D47" s="1007"/>
      <c r="E47" s="340"/>
    </row>
    <row r="48" spans="2:5" ht="15" customHeight="1" x14ac:dyDescent="0.3">
      <c r="B48" s="7"/>
      <c r="C48" s="341" t="s">
        <v>80</v>
      </c>
      <c r="D48" s="114" t="s">
        <v>326</v>
      </c>
      <c r="E48" s="341" t="s">
        <v>289</v>
      </c>
    </row>
    <row r="49" spans="2:13" ht="15" customHeight="1" x14ac:dyDescent="0.3">
      <c r="B49" s="7"/>
      <c r="C49" s="301" t="s">
        <v>316</v>
      </c>
      <c r="D49" s="308">
        <f>(112339.66+94015.6)/12</f>
        <v>17196.271666666667</v>
      </c>
      <c r="E49" s="308">
        <f>D49*12</f>
        <v>206355.26</v>
      </c>
      <c r="F49" s="7"/>
      <c r="G49" s="7"/>
      <c r="H49" s="7"/>
      <c r="I49" s="7"/>
      <c r="J49" s="7"/>
      <c r="K49" s="7"/>
      <c r="L49" s="7"/>
      <c r="M49" s="7"/>
    </row>
    <row r="50" spans="2:13" ht="15" customHeight="1" x14ac:dyDescent="0.3">
      <c r="B50" s="7"/>
      <c r="C50" s="301" t="s">
        <v>317</v>
      </c>
      <c r="D50" s="308">
        <f>D49</f>
        <v>17196.271666666667</v>
      </c>
      <c r="E50" s="308">
        <f>E49</f>
        <v>206355.26</v>
      </c>
      <c r="F50" s="7"/>
      <c r="G50" s="7"/>
      <c r="H50" s="7"/>
      <c r="I50" s="7"/>
      <c r="J50" s="7"/>
      <c r="K50" s="7"/>
      <c r="L50" s="345"/>
      <c r="M50" s="7"/>
    </row>
    <row r="51" spans="2:13" ht="15" customHeight="1" x14ac:dyDescent="0.3">
      <c r="B51" s="7"/>
      <c r="C51" s="301" t="s">
        <v>318</v>
      </c>
      <c r="D51" s="308">
        <f>D49</f>
        <v>17196.271666666667</v>
      </c>
      <c r="E51" s="308">
        <f>E49</f>
        <v>206355.26</v>
      </c>
      <c r="F51" s="7"/>
      <c r="G51" s="7"/>
      <c r="H51" s="7"/>
      <c r="I51" s="7"/>
      <c r="J51" s="7"/>
      <c r="K51" s="7"/>
      <c r="L51" s="7"/>
      <c r="M51" s="7"/>
    </row>
    <row r="52" spans="2:13" ht="15" customHeight="1" x14ac:dyDescent="0.25">
      <c r="B52" s="7"/>
      <c r="C52" s="7"/>
      <c r="D52" s="304"/>
      <c r="E52" s="304"/>
      <c r="F52" s="7"/>
      <c r="G52" s="7"/>
      <c r="H52" s="7"/>
      <c r="I52" s="7"/>
      <c r="J52" s="7"/>
      <c r="K52" s="7"/>
      <c r="L52" s="7"/>
      <c r="M52" s="7"/>
    </row>
    <row r="53" spans="2:13" ht="12.75" customHeight="1" x14ac:dyDescent="0.25">
      <c r="B53" s="7"/>
      <c r="C53" s="7"/>
      <c r="D53" s="7"/>
      <c r="E53" s="7"/>
      <c r="F53" s="7"/>
      <c r="G53" s="7"/>
      <c r="H53" s="7"/>
      <c r="I53" s="7"/>
      <c r="J53" s="7"/>
      <c r="K53" s="7"/>
      <c r="L53" s="7"/>
      <c r="M53" s="7"/>
    </row>
    <row r="54" spans="2:13" ht="12.75" customHeight="1" x14ac:dyDescent="0.35">
      <c r="B54" s="339">
        <v>7</v>
      </c>
      <c r="C54" s="1007" t="s">
        <v>330</v>
      </c>
      <c r="D54" s="1007"/>
      <c r="E54" s="340"/>
      <c r="F54" s="290"/>
      <c r="G54" s="290"/>
      <c r="H54" s="290"/>
      <c r="I54" s="290"/>
      <c r="J54" s="290"/>
      <c r="K54" s="290"/>
      <c r="L54" s="290"/>
      <c r="M54" s="290"/>
    </row>
    <row r="55" spans="2:13" ht="15" customHeight="1" x14ac:dyDescent="0.3">
      <c r="B55" s="7"/>
      <c r="C55" s="341"/>
      <c r="D55" s="1004" t="s">
        <v>331</v>
      </c>
      <c r="E55" s="1004"/>
      <c r="F55" s="1004"/>
      <c r="G55" s="1004" t="s">
        <v>332</v>
      </c>
      <c r="H55" s="1004"/>
      <c r="I55" s="1004"/>
      <c r="J55" s="1004" t="s">
        <v>333</v>
      </c>
      <c r="K55" s="1004"/>
      <c r="L55" s="1004"/>
      <c r="M55" s="346"/>
    </row>
    <row r="56" spans="2:13" ht="15" customHeight="1" x14ac:dyDescent="0.3">
      <c r="B56" s="7"/>
      <c r="C56" s="301" t="s">
        <v>80</v>
      </c>
      <c r="D56" s="117" t="s">
        <v>323</v>
      </c>
      <c r="E56" s="301" t="s">
        <v>334</v>
      </c>
      <c r="F56" s="301" t="s">
        <v>296</v>
      </c>
      <c r="G56" s="117" t="s">
        <v>323</v>
      </c>
      <c r="H56" s="301" t="s">
        <v>334</v>
      </c>
      <c r="I56" s="301" t="s">
        <v>296</v>
      </c>
      <c r="J56" s="301" t="s">
        <v>323</v>
      </c>
      <c r="K56" s="301" t="s">
        <v>334</v>
      </c>
      <c r="L56" s="301" t="s">
        <v>296</v>
      </c>
      <c r="M56" s="301" t="s">
        <v>296</v>
      </c>
    </row>
    <row r="57" spans="2:13" ht="15" customHeight="1" x14ac:dyDescent="0.3">
      <c r="B57" s="7"/>
      <c r="C57" s="301" t="s">
        <v>316</v>
      </c>
      <c r="D57" s="143">
        <f>D21</f>
        <v>2088.25</v>
      </c>
      <c r="E57" s="343">
        <f>'Anexo V - ano 1 a 10 - inicial'!D49*0.0246</f>
        <v>70.34689800000001</v>
      </c>
      <c r="F57" s="308">
        <f>E57*D57</f>
        <v>146901.90974850001</v>
      </c>
      <c r="G57" s="143">
        <f>'Anexo IV - ano 1 a 10 - inicial'!C53</f>
        <v>5360.4055761729142</v>
      </c>
      <c r="H57" s="343">
        <f>'Anexo V - ano 1 a 10 - inicial'!E38*0.0246</f>
        <v>62.602080000000008</v>
      </c>
      <c r="I57" s="308">
        <f>H57*G57</f>
        <v>335572.53871202288</v>
      </c>
      <c r="J57" s="764">
        <f>'Anexo IV - ano 1 a 10 - inicial'!D63+'Anexo IV - ano 1 a 10 - inicial'!D66</f>
        <v>28922.940926896415</v>
      </c>
      <c r="K57" s="343">
        <f>'Anexo V - ano 1 a 10 - inicial'!E39*0.0246</f>
        <v>10.419084</v>
      </c>
      <c r="L57" s="308">
        <f>J57*K57</f>
        <v>301350.55104437162</v>
      </c>
      <c r="M57" s="303">
        <f>F57+I57+L57</f>
        <v>783824.99950489448</v>
      </c>
    </row>
    <row r="58" spans="2:13" ht="15" customHeight="1" x14ac:dyDescent="0.3">
      <c r="B58" s="7"/>
      <c r="C58" s="301" t="s">
        <v>317</v>
      </c>
      <c r="D58" s="143">
        <f>D22</f>
        <v>2465</v>
      </c>
      <c r="E58" s="343">
        <f>'Anexo V - ano 1 a 10 - inicial'!D49*0.0246</f>
        <v>70.34689800000001</v>
      </c>
      <c r="F58" s="308">
        <f>E58*D58</f>
        <v>173405.10357000004</v>
      </c>
      <c r="G58" s="143">
        <f>'Anexo IV - ano 11 a 15'!C27</f>
        <v>7187.9395241358743</v>
      </c>
      <c r="H58" s="343">
        <f>'Anexo V - ano 1 a 10 - inicial'!E38*0.0246</f>
        <v>62.602080000000008</v>
      </c>
      <c r="I58" s="308">
        <f>H58*G58</f>
        <v>449979.965125116</v>
      </c>
      <c r="J58" s="764">
        <f>'Anexo IV - ano 11 a 15'!D38+'Anexo IV - ano 11 a 15'!D42</f>
        <v>35528.804263788312</v>
      </c>
      <c r="K58" s="343">
        <f>'Anexo V - ano 1 a 10 - inicial'!E39*0.0246</f>
        <v>10.419084</v>
      </c>
      <c r="L58" s="308">
        <f>J58*K58</f>
        <v>370177.59604396857</v>
      </c>
      <c r="M58" s="303">
        <f>F58+I58+L58</f>
        <v>993562.66473908466</v>
      </c>
    </row>
    <row r="59" spans="2:13" ht="15" customHeight="1" x14ac:dyDescent="0.3">
      <c r="B59" s="7"/>
      <c r="C59" s="301" t="s">
        <v>318</v>
      </c>
      <c r="D59" s="143">
        <f>D23</f>
        <v>2485</v>
      </c>
      <c r="E59" s="343">
        <f>'Anexo V - ano 1 a 10 - inicial'!D49*0.0246</f>
        <v>70.34689800000001</v>
      </c>
      <c r="F59" s="308">
        <f>E59*D59</f>
        <v>174812.04153000002</v>
      </c>
      <c r="G59" s="143">
        <f>'Anexo IV - ano 16 a 25'!C27</f>
        <v>8424.4487767065548</v>
      </c>
      <c r="H59" s="343">
        <f>'Anexo V - ano 1 a 10 - inicial'!E38*0.0246</f>
        <v>62.602080000000008</v>
      </c>
      <c r="I59" s="308">
        <f>H59*G59</f>
        <v>527388.01627528598</v>
      </c>
      <c r="J59" s="764">
        <f>'Anexo IV - ano 16 a 25'!D38+'Anexo IV - ano 16 a 25'!D42</f>
        <v>41623.463815748917</v>
      </c>
      <c r="K59" s="343">
        <f>'Anexo V - ano 1 a 10 - inicial'!E39*0.0246</f>
        <v>10.419084</v>
      </c>
      <c r="L59" s="308">
        <f t="shared" ref="L59" si="0">J59*K59</f>
        <v>433678.3658672485</v>
      </c>
      <c r="M59" s="303">
        <f>F59+I59+L59</f>
        <v>1135878.4236725345</v>
      </c>
    </row>
    <row r="60" spans="2:13" ht="12.75" customHeight="1" x14ac:dyDescent="0.25">
      <c r="B60" s="7"/>
      <c r="C60" s="735"/>
      <c r="D60" s="8"/>
      <c r="E60" s="7"/>
      <c r="F60" s="309"/>
      <c r="G60" s="8"/>
      <c r="H60" s="7"/>
      <c r="I60" s="309"/>
      <c r="J60" s="309"/>
      <c r="K60" s="7"/>
      <c r="L60" s="7"/>
      <c r="M60" s="7"/>
    </row>
    <row r="61" spans="2:13" ht="12.75" customHeight="1" x14ac:dyDescent="0.25">
      <c r="B61" s="7"/>
      <c r="C61" s="7"/>
      <c r="D61" s="7"/>
      <c r="E61" s="7"/>
      <c r="F61" s="7"/>
      <c r="G61" s="7"/>
      <c r="H61" s="7"/>
      <c r="I61" s="7"/>
      <c r="J61" s="7"/>
      <c r="K61" s="7"/>
      <c r="L61" s="7"/>
      <c r="M61" s="7"/>
    </row>
    <row r="62" spans="2:13" ht="12.75" customHeight="1" x14ac:dyDescent="0.35">
      <c r="B62" s="347">
        <v>8</v>
      </c>
      <c r="C62" s="348" t="s">
        <v>335</v>
      </c>
      <c r="D62" s="349"/>
      <c r="E62" s="340"/>
      <c r="F62" s="7"/>
      <c r="G62" s="7"/>
      <c r="H62" s="7"/>
      <c r="I62" s="7"/>
      <c r="J62" s="7"/>
      <c r="K62" s="7"/>
      <c r="L62" s="7"/>
      <c r="M62" s="7"/>
    </row>
    <row r="63" spans="2:13" ht="12.75" customHeight="1" x14ac:dyDescent="0.3">
      <c r="B63" s="7"/>
      <c r="C63" s="350" t="s">
        <v>80</v>
      </c>
      <c r="D63" s="351" t="s">
        <v>336</v>
      </c>
      <c r="E63" s="352" t="s">
        <v>337</v>
      </c>
      <c r="F63" s="353"/>
      <c r="G63" s="7"/>
      <c r="H63" s="7"/>
      <c r="I63" s="7"/>
      <c r="J63" s="7"/>
      <c r="K63" s="7"/>
      <c r="L63" s="7"/>
      <c r="M63" s="7"/>
    </row>
    <row r="64" spans="2:13" ht="12.75" customHeight="1" x14ac:dyDescent="0.3">
      <c r="B64" s="7"/>
      <c r="C64" s="301" t="s">
        <v>316</v>
      </c>
      <c r="D64" s="308">
        <v>294420</v>
      </c>
      <c r="E64" s="354">
        <f>D64*12</f>
        <v>3533040</v>
      </c>
      <c r="F64" s="355"/>
      <c r="G64" s="7"/>
      <c r="H64" s="7"/>
      <c r="I64" s="7"/>
      <c r="J64" s="7"/>
      <c r="K64" s="7"/>
      <c r="L64" s="7"/>
      <c r="M64" s="7"/>
    </row>
    <row r="65" spans="2:7" ht="12.75" customHeight="1" x14ac:dyDescent="0.3">
      <c r="B65" s="7"/>
      <c r="C65" s="301" t="s">
        <v>317</v>
      </c>
      <c r="D65" s="308">
        <f>D64</f>
        <v>294420</v>
      </c>
      <c r="E65" s="354">
        <f>D65*12</f>
        <v>3533040</v>
      </c>
      <c r="F65" s="355"/>
      <c r="G65" s="7"/>
    </row>
    <row r="66" spans="2:7" ht="12.75" customHeight="1" x14ac:dyDescent="0.3">
      <c r="B66" s="7"/>
      <c r="C66" s="301" t="s">
        <v>318</v>
      </c>
      <c r="D66" s="308">
        <f>D65</f>
        <v>294420</v>
      </c>
      <c r="E66" s="354">
        <f>D66*12</f>
        <v>3533040</v>
      </c>
      <c r="F66" s="355"/>
      <c r="G66" s="7"/>
    </row>
    <row r="67" spans="2:7" ht="12.75" customHeight="1" x14ac:dyDescent="0.25">
      <c r="B67" s="7"/>
      <c r="C67" s="735" t="s">
        <v>338</v>
      </c>
      <c r="D67" s="7"/>
      <c r="E67" s="7"/>
      <c r="F67" s="7"/>
      <c r="G67" s="7"/>
    </row>
    <row r="68" spans="2:7" ht="12.75" customHeight="1" thickBot="1" x14ac:dyDescent="0.3">
      <c r="B68" s="7"/>
      <c r="C68" s="7"/>
      <c r="D68" s="7"/>
      <c r="E68" s="7"/>
      <c r="F68" s="7"/>
      <c r="G68" s="7"/>
    </row>
    <row r="69" spans="2:7" ht="12.75" customHeight="1" thickBot="1" x14ac:dyDescent="0.4">
      <c r="B69" s="347">
        <v>9</v>
      </c>
      <c r="C69" s="1005" t="s">
        <v>339</v>
      </c>
      <c r="D69" s="1005"/>
      <c r="E69" s="1005"/>
      <c r="F69" s="1006"/>
      <c r="G69" s="1006"/>
    </row>
    <row r="70" spans="2:7" ht="28.5" customHeight="1" x14ac:dyDescent="0.3">
      <c r="B70" s="7"/>
      <c r="C70" s="351" t="s">
        <v>80</v>
      </c>
      <c r="D70" s="25" t="s">
        <v>340</v>
      </c>
      <c r="E70" s="25" t="s">
        <v>341</v>
      </c>
      <c r="F70" s="351" t="s">
        <v>342</v>
      </c>
      <c r="G70" s="351" t="s">
        <v>343</v>
      </c>
    </row>
    <row r="71" spans="2:7" ht="15" customHeight="1" x14ac:dyDescent="0.3">
      <c r="B71" s="7"/>
      <c r="C71" s="116" t="s">
        <v>344</v>
      </c>
      <c r="D71" s="779">
        <f>('Anexo V - ano 1 a 10 - inicial'!E144)*0.05</f>
        <v>4625</v>
      </c>
      <c r="E71" s="356">
        <f>'Memória-combustível'!D110</f>
        <v>19902.413793103449</v>
      </c>
      <c r="F71" s="116">
        <v>2</v>
      </c>
      <c r="G71" s="357">
        <f>D71+(E71*F71)</f>
        <v>44429.827586206899</v>
      </c>
    </row>
    <row r="72" spans="2:7" ht="12.75" customHeight="1" x14ac:dyDescent="0.25">
      <c r="B72" s="7"/>
      <c r="C72" s="7" t="s">
        <v>345</v>
      </c>
      <c r="D72" s="7"/>
      <c r="E72" s="7"/>
      <c r="F72" s="7"/>
      <c r="G72" s="7"/>
    </row>
    <row r="73" spans="2:7" ht="12.75" customHeight="1" x14ac:dyDescent="0.25">
      <c r="B73" s="7"/>
      <c r="C73" s="7"/>
      <c r="D73" s="7"/>
      <c r="E73" s="7"/>
      <c r="F73" s="7"/>
      <c r="G73" s="7"/>
    </row>
    <row r="74" spans="2:7" ht="12.75" customHeight="1" x14ac:dyDescent="0.25">
      <c r="B74" s="7"/>
      <c r="C74" s="7"/>
      <c r="D74" s="7"/>
      <c r="E74" s="7"/>
      <c r="F74" s="7"/>
      <c r="G74" s="7"/>
    </row>
    <row r="75" spans="2:7" ht="12.75" customHeight="1" x14ac:dyDescent="0.25">
      <c r="B75" s="7"/>
      <c r="C75" s="7"/>
      <c r="D75" s="7"/>
      <c r="E75" s="7"/>
      <c r="F75" s="7"/>
      <c r="G75" s="7"/>
    </row>
    <row r="76" spans="2:7" ht="12.75" customHeight="1" x14ac:dyDescent="0.3">
      <c r="B76" s="7"/>
      <c r="C76" s="348" t="s">
        <v>346</v>
      </c>
      <c r="D76" s="349"/>
      <c r="E76" s="340"/>
      <c r="F76" s="7"/>
      <c r="G76" s="7"/>
    </row>
    <row r="77" spans="2:7" ht="12.75" customHeight="1" x14ac:dyDescent="0.3">
      <c r="B77" s="7"/>
      <c r="C77" s="350" t="s">
        <v>80</v>
      </c>
      <c r="D77" s="351" t="s">
        <v>336</v>
      </c>
      <c r="E77" s="352" t="s">
        <v>337</v>
      </c>
      <c r="F77" s="7"/>
      <c r="G77" s="7"/>
    </row>
    <row r="78" spans="2:7" ht="12.75" customHeight="1" x14ac:dyDescent="0.3">
      <c r="B78" s="7"/>
      <c r="C78" s="301" t="s">
        <v>316</v>
      </c>
      <c r="D78" s="308">
        <f>(('Anexo V - ano 1 a 10 - inicial'!F38+'Anexo V - ano 1 a 10 - inicial'!F42)*0.0052)/12</f>
        <v>6949.9061483560945</v>
      </c>
      <c r="E78" s="354">
        <f>D78*12</f>
        <v>83398.873780273134</v>
      </c>
      <c r="F78" s="7"/>
      <c r="G78" s="7"/>
    </row>
    <row r="79" spans="2:7" ht="12.75" customHeight="1" x14ac:dyDescent="0.3">
      <c r="B79" s="7"/>
      <c r="C79" s="301" t="s">
        <v>317</v>
      </c>
      <c r="D79" s="308">
        <f>(('Anexo V - ano 11 a 15'!H38+'Anexo V - ano 11 a 15'!H42+'Anexo V - ano 1 a 10 - inicial'!F38+'Anexo V - ano 1 a 10 - inicial'!F42)*0.0052)/12</f>
        <v>9432.0715454424226</v>
      </c>
      <c r="E79" s="354">
        <f>D79*12</f>
        <v>113184.85854530908</v>
      </c>
      <c r="F79" s="7"/>
      <c r="G79" s="7"/>
    </row>
    <row r="80" spans="2:7" ht="12.75" customHeight="1" x14ac:dyDescent="0.3">
      <c r="B80" s="7"/>
      <c r="C80" s="301" t="s">
        <v>318</v>
      </c>
      <c r="D80" s="308">
        <f>(('Anexo V - ano 11 a 15'!H38+'Anexo V - ano 11 a 15'!H42+'Anexo V - ano 1 a 10 - inicial'!F38+'Anexo V - ano 1 a 10 - inicial'!F42+'Anexo V - ano 16 a 25'!H38+'Anexo V - ano 16 a 25'!H42)*0.0052)/12</f>
        <v>10820.411462017231</v>
      </c>
      <c r="E80" s="354">
        <f>D80*12</f>
        <v>129844.93754420677</v>
      </c>
      <c r="F80" s="7"/>
      <c r="G80" s="7"/>
    </row>
    <row r="83" spans="3:5" ht="16.5" customHeight="1" x14ac:dyDescent="0.35">
      <c r="C83" s="985" t="s">
        <v>347</v>
      </c>
      <c r="D83" s="985"/>
      <c r="E83" s="985"/>
    </row>
    <row r="84" spans="3:5" ht="12.75" customHeight="1" x14ac:dyDescent="0.3">
      <c r="C84" s="341" t="s">
        <v>80</v>
      </c>
      <c r="D84" s="114" t="s">
        <v>326</v>
      </c>
      <c r="E84" s="341" t="s">
        <v>289</v>
      </c>
    </row>
    <row r="85" spans="3:5" ht="12.75" customHeight="1" x14ac:dyDescent="0.3">
      <c r="C85" s="301" t="s">
        <v>316</v>
      </c>
      <c r="D85" s="308">
        <f>98000/12</f>
        <v>8166.666666666667</v>
      </c>
      <c r="E85" s="308">
        <f>D85*12</f>
        <v>98000</v>
      </c>
    </row>
    <row r="86" spans="3:5" ht="12.75" customHeight="1" x14ac:dyDescent="0.3">
      <c r="C86" s="301" t="s">
        <v>317</v>
      </c>
      <c r="D86" s="308">
        <f>D85</f>
        <v>8166.666666666667</v>
      </c>
      <c r="E86" s="308">
        <f>E85</f>
        <v>98000</v>
      </c>
    </row>
    <row r="87" spans="3:5" ht="12.75" customHeight="1" x14ac:dyDescent="0.3">
      <c r="C87" s="301" t="s">
        <v>318</v>
      </c>
      <c r="D87" s="308">
        <f>D85</f>
        <v>8166.666666666667</v>
      </c>
      <c r="E87" s="308">
        <f>E85</f>
        <v>98000</v>
      </c>
    </row>
  </sheetData>
  <mergeCells count="21">
    <mergeCell ref="C8:G8"/>
    <mergeCell ref="C11:D11"/>
    <mergeCell ref="C18:D18"/>
    <mergeCell ref="D19:F19"/>
    <mergeCell ref="G19:I19"/>
    <mergeCell ref="D3:G3"/>
    <mergeCell ref="D4:G4"/>
    <mergeCell ref="D5:G5"/>
    <mergeCell ref="F6:I6"/>
    <mergeCell ref="F7:I7"/>
    <mergeCell ref="C26:D26"/>
    <mergeCell ref="C33:D33"/>
    <mergeCell ref="C40:D40"/>
    <mergeCell ref="C47:D47"/>
    <mergeCell ref="C54:D54"/>
    <mergeCell ref="C83:E83"/>
    <mergeCell ref="D55:F55"/>
    <mergeCell ref="G55:I55"/>
    <mergeCell ref="J55:L55"/>
    <mergeCell ref="C69:E69"/>
    <mergeCell ref="F69:G69"/>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B3:AB33"/>
  <sheetViews>
    <sheetView topLeftCell="S7" workbookViewId="0">
      <selection activeCell="AA18" sqref="AA18"/>
    </sheetView>
  </sheetViews>
  <sheetFormatPr defaultRowHeight="12.5" x14ac:dyDescent="0.25"/>
  <cols>
    <col min="1" max="1" width="3.54296875" customWidth="1"/>
    <col min="2" max="2" width="57.54296875" customWidth="1"/>
    <col min="3" max="3" width="20" customWidth="1"/>
    <col min="4" max="4" width="19.54296875" customWidth="1"/>
    <col min="5" max="7" width="17.1796875" customWidth="1"/>
    <col min="8" max="8" width="17.7265625" customWidth="1"/>
    <col min="9" max="9" width="17" customWidth="1"/>
    <col min="10" max="10" width="16.54296875" customWidth="1"/>
    <col min="11" max="11" width="17.7265625" customWidth="1"/>
    <col min="12" max="18" width="16.453125" customWidth="1"/>
    <col min="19" max="20" width="18" customWidth="1"/>
    <col min="21" max="21" width="17.81640625" customWidth="1"/>
    <col min="22" max="22" width="18" customWidth="1"/>
    <col min="23" max="24" width="17.54296875" customWidth="1"/>
    <col min="25" max="25" width="17.26953125" customWidth="1"/>
    <col min="26" max="26" width="16.81640625" customWidth="1"/>
    <col min="27" max="27" width="17.1796875" customWidth="1"/>
    <col min="28" max="28" width="18.54296875" customWidth="1"/>
    <col min="29" max="38" width="10.26953125" customWidth="1"/>
    <col min="39" max="1025" width="14.453125" customWidth="1"/>
  </cols>
  <sheetData>
    <row r="3" spans="2:28" ht="15.5" x14ac:dyDescent="0.35">
      <c r="B3" s="7"/>
      <c r="C3" s="8"/>
      <c r="D3" s="8"/>
      <c r="E3" s="975" t="s">
        <v>70</v>
      </c>
      <c r="F3" s="975"/>
      <c r="G3" s="975"/>
      <c r="H3" s="975"/>
      <c r="I3" s="975"/>
      <c r="J3" s="975"/>
      <c r="K3" s="975"/>
      <c r="L3" s="975"/>
      <c r="M3" s="8"/>
      <c r="N3" s="8"/>
      <c r="O3" s="8"/>
      <c r="P3" s="8"/>
      <c r="Q3" s="8"/>
      <c r="R3" s="8"/>
      <c r="S3" s="8"/>
      <c r="T3" s="8"/>
      <c r="U3" s="8"/>
      <c r="V3" s="8"/>
      <c r="W3" s="8"/>
      <c r="X3" s="8"/>
      <c r="Y3" s="8"/>
      <c r="Z3" s="8"/>
      <c r="AA3" s="8"/>
      <c r="AB3" s="8"/>
    </row>
    <row r="4" spans="2:28" ht="15.5" x14ac:dyDescent="0.35">
      <c r="B4" s="987"/>
      <c r="C4" s="987"/>
      <c r="D4" s="987"/>
      <c r="E4" s="976" t="s">
        <v>348</v>
      </c>
      <c r="F4" s="976"/>
      <c r="G4" s="976"/>
      <c r="H4" s="976"/>
      <c r="I4" s="976"/>
      <c r="J4" s="976"/>
      <c r="K4" s="976"/>
      <c r="L4" s="976"/>
      <c r="M4" s="8"/>
      <c r="N4" s="8"/>
      <c r="O4" s="8"/>
      <c r="P4" s="8"/>
      <c r="Q4" s="8"/>
      <c r="R4" s="8"/>
      <c r="S4" s="8"/>
      <c r="T4" s="8"/>
      <c r="U4" s="8"/>
      <c r="V4" s="8"/>
      <c r="W4" s="8"/>
      <c r="X4" s="8"/>
      <c r="Y4" s="8"/>
      <c r="Z4" s="8"/>
      <c r="AA4" s="8"/>
      <c r="AB4" s="8"/>
    </row>
    <row r="5" spans="2:28" ht="15.5" x14ac:dyDescent="0.35">
      <c r="B5" s="987"/>
      <c r="C5" s="987"/>
      <c r="D5" s="987"/>
      <c r="E5" s="977" t="s">
        <v>349</v>
      </c>
      <c r="F5" s="977"/>
      <c r="G5" s="977"/>
      <c r="H5" s="977"/>
      <c r="I5" s="977"/>
      <c r="J5" s="977"/>
      <c r="K5" s="977"/>
      <c r="L5" s="977"/>
      <c r="M5" s="8"/>
      <c r="N5" s="8"/>
      <c r="O5" s="8"/>
      <c r="P5" s="8"/>
      <c r="Q5" s="8"/>
      <c r="R5" s="8"/>
      <c r="S5" s="8"/>
      <c r="T5" s="8"/>
      <c r="U5" s="8"/>
      <c r="V5" s="8"/>
      <c r="W5" s="8"/>
      <c r="X5" s="8"/>
      <c r="Y5" s="8"/>
      <c r="Z5" s="8"/>
      <c r="AA5" s="8"/>
      <c r="AB5" s="8"/>
    </row>
    <row r="6" spans="2:28" ht="15.5" x14ac:dyDescent="0.35">
      <c r="B6" s="987"/>
      <c r="C6" s="987"/>
      <c r="D6" s="987"/>
      <c r="E6" s="8"/>
      <c r="F6" s="358"/>
      <c r="G6" s="358"/>
      <c r="H6" s="358"/>
      <c r="I6" s="358"/>
      <c r="J6" s="358"/>
      <c r="K6" s="358"/>
      <c r="L6" s="8"/>
      <c r="M6" s="8"/>
      <c r="N6" s="8"/>
      <c r="O6" s="8"/>
      <c r="P6" s="8"/>
      <c r="Q6" s="8"/>
      <c r="R6" s="8"/>
      <c r="S6" s="8"/>
      <c r="T6" s="8"/>
      <c r="U6" s="8"/>
      <c r="V6" s="8"/>
      <c r="W6" s="8"/>
      <c r="X6" s="8"/>
      <c r="Y6" s="8"/>
      <c r="Z6" s="8"/>
      <c r="AA6" s="8"/>
      <c r="AB6" s="8"/>
    </row>
    <row r="7" spans="2:28" ht="15.5" x14ac:dyDescent="0.35">
      <c r="B7" s="9"/>
      <c r="C7" s="9"/>
      <c r="D7" s="9"/>
      <c r="E7" s="8"/>
      <c r="F7" s="358"/>
      <c r="G7" s="358"/>
      <c r="H7" s="358"/>
      <c r="I7" s="358"/>
      <c r="J7" s="358"/>
      <c r="K7" s="358"/>
      <c r="L7" s="8"/>
      <c r="M7" s="8"/>
      <c r="N7" s="8"/>
      <c r="O7" s="8"/>
      <c r="P7" s="8"/>
      <c r="Q7" s="8"/>
      <c r="R7" s="8"/>
      <c r="S7" s="8"/>
      <c r="T7" s="8"/>
      <c r="U7" s="8"/>
      <c r="V7" s="8"/>
      <c r="W7" s="8"/>
      <c r="X7" s="8"/>
      <c r="Y7" s="8"/>
      <c r="Z7" s="8"/>
      <c r="AA7" s="8"/>
      <c r="AB7" s="8"/>
    </row>
    <row r="8" spans="2:28" x14ac:dyDescent="0.25">
      <c r="B8" s="7"/>
      <c r="C8" s="8"/>
      <c r="D8" s="8"/>
      <c r="E8" s="8"/>
      <c r="F8" s="8"/>
      <c r="G8" s="8"/>
      <c r="H8" s="8"/>
      <c r="I8" s="8"/>
      <c r="J8" s="8"/>
      <c r="K8" s="8"/>
      <c r="L8" s="8"/>
      <c r="M8" s="8"/>
      <c r="N8" s="8"/>
      <c r="O8" s="8"/>
      <c r="P8" s="8"/>
      <c r="Q8" s="8"/>
      <c r="R8" s="8"/>
      <c r="S8" s="8"/>
      <c r="T8" s="8"/>
      <c r="U8" s="8"/>
      <c r="V8" s="8"/>
      <c r="W8" s="8"/>
      <c r="X8" s="8"/>
      <c r="Y8" s="8"/>
      <c r="Z8" s="8"/>
      <c r="AA8" s="8"/>
      <c r="AB8" s="8"/>
    </row>
    <row r="9" spans="2:28" ht="17.5" x14ac:dyDescent="0.35">
      <c r="B9" s="1009" t="s">
        <v>350</v>
      </c>
      <c r="C9" s="1009"/>
      <c r="D9" s="1009"/>
      <c r="E9" s="359"/>
      <c r="F9" s="360"/>
      <c r="G9" s="361"/>
      <c r="H9" s="361"/>
      <c r="I9" s="361"/>
      <c r="J9" s="361"/>
      <c r="K9" s="361"/>
      <c r="L9" s="361"/>
      <c r="M9" s="361"/>
      <c r="N9" s="361"/>
      <c r="O9" s="361"/>
      <c r="P9" s="361"/>
      <c r="Q9" s="361"/>
      <c r="R9" s="361"/>
      <c r="S9" s="361"/>
      <c r="T9" s="361"/>
      <c r="U9" s="361"/>
      <c r="V9" s="361"/>
      <c r="W9" s="361"/>
      <c r="X9" s="361"/>
      <c r="Y9" s="361"/>
      <c r="Z9" s="361"/>
      <c r="AA9" s="361"/>
      <c r="AB9" s="246"/>
    </row>
    <row r="10" spans="2:28" ht="30.75" customHeight="1" x14ac:dyDescent="0.25">
      <c r="B10" s="362" t="s">
        <v>89</v>
      </c>
      <c r="C10" s="363">
        <v>1</v>
      </c>
      <c r="D10" s="363">
        <v>2</v>
      </c>
      <c r="E10" s="363">
        <v>3</v>
      </c>
      <c r="F10" s="363">
        <v>4</v>
      </c>
      <c r="G10" s="363">
        <v>5</v>
      </c>
      <c r="H10" s="363">
        <v>6</v>
      </c>
      <c r="I10" s="363">
        <v>7</v>
      </c>
      <c r="J10" s="363">
        <v>8</v>
      </c>
      <c r="K10" s="363">
        <v>9</v>
      </c>
      <c r="L10" s="363">
        <v>10</v>
      </c>
      <c r="M10" s="363">
        <v>11</v>
      </c>
      <c r="N10" s="363">
        <v>12</v>
      </c>
      <c r="O10" s="363">
        <v>13</v>
      </c>
      <c r="P10" s="363">
        <v>14</v>
      </c>
      <c r="Q10" s="363">
        <v>15</v>
      </c>
      <c r="R10" s="363">
        <v>16</v>
      </c>
      <c r="S10" s="363">
        <v>17</v>
      </c>
      <c r="T10" s="363">
        <v>18</v>
      </c>
      <c r="U10" s="363">
        <v>19</v>
      </c>
      <c r="V10" s="363">
        <v>20</v>
      </c>
      <c r="W10" s="363">
        <v>21</v>
      </c>
      <c r="X10" s="363">
        <v>22</v>
      </c>
      <c r="Y10" s="363">
        <v>23</v>
      </c>
      <c r="Z10" s="363">
        <v>24</v>
      </c>
      <c r="AA10" s="363">
        <v>25</v>
      </c>
      <c r="AB10" s="364" t="s">
        <v>351</v>
      </c>
    </row>
    <row r="11" spans="2:28" ht="15.5" x14ac:dyDescent="0.25">
      <c r="B11" s="365" t="s">
        <v>352</v>
      </c>
      <c r="C11" s="366">
        <f t="shared" ref="C11" si="0">SUM(C12:C14)</f>
        <v>0</v>
      </c>
      <c r="D11" s="367">
        <f t="shared" ref="D11:AA11" si="1">SUM(D12:D14)</f>
        <v>5833682.8992190696</v>
      </c>
      <c r="E11" s="367">
        <f t="shared" si="1"/>
        <v>11863374.270928459</v>
      </c>
      <c r="F11" s="367">
        <f t="shared" si="1"/>
        <v>12036827.311362624</v>
      </c>
      <c r="G11" s="367">
        <f t="shared" si="1"/>
        <v>12213055.600443738</v>
      </c>
      <c r="H11" s="367">
        <f t="shared" si="1"/>
        <v>12392103.542150147</v>
      </c>
      <c r="I11" s="367">
        <f t="shared" si="1"/>
        <v>12574016.250923857</v>
      </c>
      <c r="J11" s="367">
        <f t="shared" si="1"/>
        <v>12758839.563037951</v>
      </c>
      <c r="K11" s="367">
        <f t="shared" si="1"/>
        <v>12946620.04814587</v>
      </c>
      <c r="L11" s="367">
        <f t="shared" si="1"/>
        <v>13137405.02101551</v>
      </c>
      <c r="M11" s="367">
        <f t="shared" si="1"/>
        <v>13663654.418451067</v>
      </c>
      <c r="N11" s="367">
        <f t="shared" si="1"/>
        <v>13860593.351405594</v>
      </c>
      <c r="O11" s="367">
        <f t="shared" si="1"/>
        <v>14060683.307287395</v>
      </c>
      <c r="P11" s="367">
        <f t="shared" si="1"/>
        <v>14263974.702463303</v>
      </c>
      <c r="Q11" s="367">
        <f t="shared" si="1"/>
        <v>14710420.839962024</v>
      </c>
      <c r="R11" s="367">
        <f t="shared" si="1"/>
        <v>14941358.177380728</v>
      </c>
      <c r="S11" s="367">
        <f t="shared" si="1"/>
        <v>15154564.519998131</v>
      </c>
      <c r="T11" s="367">
        <f t="shared" si="1"/>
        <v>15371182.164097412</v>
      </c>
      <c r="U11" s="367">
        <f t="shared" si="1"/>
        <v>15591265.690502279</v>
      </c>
      <c r="V11" s="367">
        <f t="shared" si="1"/>
        <v>15814870.553329628</v>
      </c>
      <c r="W11" s="367">
        <f t="shared" si="1"/>
        <v>16042053.093962211</v>
      </c>
      <c r="X11" s="367">
        <f t="shared" si="1"/>
        <v>16272870.555244921</v>
      </c>
      <c r="Y11" s="367">
        <f t="shared" si="1"/>
        <v>16507381.095908146</v>
      </c>
      <c r="Z11" s="367">
        <f t="shared" si="1"/>
        <v>16745643.805221986</v>
      </c>
      <c r="AA11" s="367">
        <f t="shared" si="1"/>
        <v>16987718.717884853</v>
      </c>
      <c r="AB11" s="368">
        <f t="shared" ref="AB11:AB33" si="2">SUM(C11:AA11)</f>
        <v>335744159.50032687</v>
      </c>
    </row>
    <row r="12" spans="2:28" ht="15.5" x14ac:dyDescent="0.35">
      <c r="B12" s="369" t="s">
        <v>353</v>
      </c>
      <c r="C12" s="370">
        <f>'Memória-combustível'!$E10</f>
        <v>0</v>
      </c>
      <c r="D12" s="370">
        <f>'Memória-combustível'!$E11</f>
        <v>340951.23889655172</v>
      </c>
      <c r="E12" s="370">
        <f>'Memória-combustível'!$E12</f>
        <v>707189.45379310322</v>
      </c>
      <c r="F12" s="370">
        <f>'Memória-combustível'!$E13</f>
        <v>707189.45379310322</v>
      </c>
      <c r="G12" s="370">
        <f>'Memória-combustível'!$E14</f>
        <v>707189.45379310322</v>
      </c>
      <c r="H12" s="370">
        <f>'Memória-combustível'!$E15</f>
        <v>707189.45379310322</v>
      </c>
      <c r="I12" s="370">
        <f>'Memória-combustível'!$E16</f>
        <v>707189.45379310322</v>
      </c>
      <c r="J12" s="370">
        <f>'Memória-combustível'!$E17</f>
        <v>707189.45379310322</v>
      </c>
      <c r="K12" s="370">
        <f>'Memória-combustível'!$E18</f>
        <v>707189.45379310322</v>
      </c>
      <c r="L12" s="370">
        <f>'Memória-combustível'!E19</f>
        <v>707189.45379310322</v>
      </c>
      <c r="M12" s="370">
        <f>'Memória-combustível'!$E20</f>
        <v>921156.1737931032</v>
      </c>
      <c r="N12" s="370">
        <f>'Memória-combustível'!$E21</f>
        <v>921156.1737931032</v>
      </c>
      <c r="O12" s="370">
        <f>'Memória-combustível'!$E22</f>
        <v>921156.1737931032</v>
      </c>
      <c r="P12" s="370">
        <f>'Memória-combustível'!$E23</f>
        <v>921156.1737931032</v>
      </c>
      <c r="Q12" s="370">
        <f>'Memória-combustível'!$E24</f>
        <v>1161058.2537931034</v>
      </c>
      <c r="R12" s="370">
        <f>'Memória-combustível'!$E25</f>
        <v>1161058.2537931034</v>
      </c>
      <c r="S12" s="370">
        <f>'Memória-combustível'!$E26</f>
        <v>1161058.2537931034</v>
      </c>
      <c r="T12" s="370">
        <f>'Memória-combustível'!$E27</f>
        <v>1161058.2537931034</v>
      </c>
      <c r="U12" s="370">
        <f>'Memória-combustível'!$E28</f>
        <v>1161058.2537931034</v>
      </c>
      <c r="V12" s="370">
        <f>'Memória-combustível'!$E29</f>
        <v>1161058.2537931034</v>
      </c>
      <c r="W12" s="370">
        <f>'Memória-combustível'!$E30</f>
        <v>1161058.2537931034</v>
      </c>
      <c r="X12" s="370">
        <f>'Memória-combustível'!$E31</f>
        <v>1161058.2537931034</v>
      </c>
      <c r="Y12" s="370">
        <f>'Memória-combustível'!$E32</f>
        <v>1161058.2537931034</v>
      </c>
      <c r="Z12" s="370">
        <f>'Memória-combustível'!$E33</f>
        <v>1161058.2537931034</v>
      </c>
      <c r="AA12" s="370">
        <f>'Memória-combustível'!$E34</f>
        <v>1161058.2537931034</v>
      </c>
      <c r="AB12" s="371">
        <f t="shared" si="2"/>
        <v>22454732.356137924</v>
      </c>
    </row>
    <row r="13" spans="2:28" ht="15.5" x14ac:dyDescent="0.35">
      <c r="B13" s="372" t="s">
        <v>354</v>
      </c>
      <c r="C13" s="370">
        <f>'Memória-manutenção'!D24</f>
        <v>0</v>
      </c>
      <c r="D13" s="370">
        <f>'Memória-manutenção'!$D25</f>
        <v>157684.89499999999</v>
      </c>
      <c r="E13" s="370">
        <f>'Memória-manutenção'!$D26</f>
        <v>315369.78999999998</v>
      </c>
      <c r="F13" s="370">
        <f>'Memória-manutenção'!$D27</f>
        <v>315369.78999999998</v>
      </c>
      <c r="G13" s="370">
        <f>'Memória-manutenção'!$D28</f>
        <v>315369.78999999998</v>
      </c>
      <c r="H13" s="370">
        <f>'Memória-manutenção'!$D29</f>
        <v>315369.78999999998</v>
      </c>
      <c r="I13" s="370">
        <f>'Memória-manutenção'!$D30</f>
        <v>315369.78999999998</v>
      </c>
      <c r="J13" s="370">
        <f>'Memória-manutenção'!$D31</f>
        <v>315369.78999999998</v>
      </c>
      <c r="K13" s="370">
        <f>'Memória-manutenção'!$D32</f>
        <v>315369.78999999998</v>
      </c>
      <c r="L13" s="370">
        <f>'Memória-manutenção'!$D33</f>
        <v>315369.78999999998</v>
      </c>
      <c r="M13" s="370">
        <f>'Memória-manutenção'!$D34</f>
        <v>433814.935</v>
      </c>
      <c r="N13" s="370">
        <f>'Memória-manutenção'!$D35</f>
        <v>433814.935</v>
      </c>
      <c r="O13" s="370">
        <f>'Memória-manutenção'!$D36</f>
        <v>433814.935</v>
      </c>
      <c r="P13" s="370">
        <f>'Memória-manutenção'!$D37</f>
        <v>433814.935</v>
      </c>
      <c r="Q13" s="370">
        <f>'Memória-manutenção'!$D38</f>
        <v>433814.935</v>
      </c>
      <c r="R13" s="370">
        <f>'Memória-manutenção'!$D39</f>
        <v>454903.51</v>
      </c>
      <c r="S13" s="370">
        <f>'Memória-manutenção'!$D40</f>
        <v>454903.51</v>
      </c>
      <c r="T13" s="370">
        <f>'Memória-manutenção'!$D41</f>
        <v>454903.51</v>
      </c>
      <c r="U13" s="370">
        <f>'Memória-manutenção'!$D42</f>
        <v>454903.51</v>
      </c>
      <c r="V13" s="370">
        <f>'Memória-manutenção'!$D43</f>
        <v>454903.51</v>
      </c>
      <c r="W13" s="370">
        <f>'Memória-manutenção'!$D44</f>
        <v>454903.51</v>
      </c>
      <c r="X13" s="370">
        <f>'Memória-manutenção'!$D45</f>
        <v>454903.51</v>
      </c>
      <c r="Y13" s="370">
        <f>'Memória-manutenção'!$D46</f>
        <v>454903.51</v>
      </c>
      <c r="Z13" s="370">
        <f>'Memória-manutenção'!$D47</f>
        <v>454903.51</v>
      </c>
      <c r="AA13" s="370">
        <f>'Memória-manutenção'!$D48</f>
        <v>454903.51</v>
      </c>
      <c r="AB13" s="371">
        <f t="shared" si="2"/>
        <v>9398752.9899999984</v>
      </c>
    </row>
    <row r="14" spans="2:28" ht="15.5" x14ac:dyDescent="0.35">
      <c r="B14" s="372" t="s">
        <v>355</v>
      </c>
      <c r="C14" s="373">
        <f>'Anexo II - Carga-demanda'!$I21*0.05/100</f>
        <v>0</v>
      </c>
      <c r="D14" s="373">
        <f>(('Anexo II - Carga-demanda'!$I22*0.05/100))</f>
        <v>5335046.7653225176</v>
      </c>
      <c r="E14" s="373">
        <f>'Anexo II - Carga-demanda'!$I23*0.05/100</f>
        <v>10840815.027135355</v>
      </c>
      <c r="F14" s="373">
        <f>'Anexo II - Carga-demanda'!$I24*0.05/100</f>
        <v>11014268.06756952</v>
      </c>
      <c r="G14" s="373">
        <f>'Anexo II - Carga-demanda'!$I25*0.05/100</f>
        <v>11190496.356650634</v>
      </c>
      <c r="H14" s="373">
        <f>'Anexo II - Carga-demanda'!$I26*0.05/100</f>
        <v>11369544.298357043</v>
      </c>
      <c r="I14" s="373">
        <f>'Anexo II - Carga-demanda'!$I27*0.05/100</f>
        <v>11551457.007130753</v>
      </c>
      <c r="J14" s="373">
        <f>'Anexo II - Carga-demanda'!$I28*0.05/100</f>
        <v>11736280.319244847</v>
      </c>
      <c r="K14" s="373">
        <f>'Anexo II - Carga-demanda'!$I29*0.05/100</f>
        <v>11924060.804352766</v>
      </c>
      <c r="L14" s="373">
        <f>'Anexo II - Carga-demanda'!$I30*0.05/100</f>
        <v>12114845.777222406</v>
      </c>
      <c r="M14" s="373">
        <f>'Anexo II - Carga-demanda'!$I31*0.05/100</f>
        <v>12308683.309657965</v>
      </c>
      <c r="N14" s="373">
        <f>'Anexo II - Carga-demanda'!$I32*0.05/100</f>
        <v>12505622.242612492</v>
      </c>
      <c r="O14" s="373">
        <f>'Anexo II - Carga-demanda'!$I33*0.05/100</f>
        <v>12705712.198494291</v>
      </c>
      <c r="P14" s="373">
        <f>'Anexo II - Carga-demanda'!$I34*0.05/100</f>
        <v>12909003.593670199</v>
      </c>
      <c r="Q14" s="373">
        <f>'Anexo II - Carga-demanda'!$I35*0.05/100</f>
        <v>13115547.65116892</v>
      </c>
      <c r="R14" s="373">
        <f>'Anexo II - Carga-demanda'!$I36*0.05/100</f>
        <v>13325396.413587624</v>
      </c>
      <c r="S14" s="373">
        <f>'Anexo II - Carga-demanda'!$I37*0.05/100</f>
        <v>13538602.756205028</v>
      </c>
      <c r="T14" s="373">
        <f>'Anexo II - Carga-demanda'!$I38*0.05/100</f>
        <v>13755220.400304308</v>
      </c>
      <c r="U14" s="373">
        <f>'Anexo II - Carga-demanda'!$I39*0.05/100</f>
        <v>13975303.926709175</v>
      </c>
      <c r="V14" s="373">
        <f>'Anexo II - Carga-demanda'!$I40*0.05/100</f>
        <v>14198908.789536525</v>
      </c>
      <c r="W14" s="373">
        <f>'Anexo II - Carga-demanda'!$I41*0.05/100</f>
        <v>14426091.330169108</v>
      </c>
      <c r="X14" s="373">
        <f>'Anexo II - Carga-demanda'!$I42*0.05/100</f>
        <v>14656908.791451817</v>
      </c>
      <c r="Y14" s="373">
        <f>'Anexo II - Carga-demanda'!$I43*0.05/100</f>
        <v>14891419.332115043</v>
      </c>
      <c r="Z14" s="373">
        <f>'Anexo II - Carga-demanda'!$I44*0.05/100</f>
        <v>15129682.041428883</v>
      </c>
      <c r="AA14" s="373">
        <f>'Anexo II - Carga-demanda'!$I45*0.05/100</f>
        <v>15371756.95409175</v>
      </c>
      <c r="AB14" s="374">
        <f t="shared" si="2"/>
        <v>303890674.15418893</v>
      </c>
    </row>
    <row r="15" spans="2:28" ht="15.5" x14ac:dyDescent="0.25">
      <c r="B15" s="365" t="s">
        <v>356</v>
      </c>
      <c r="C15" s="375">
        <f t="shared" ref="C15:AA15" si="3">SUM(C16:C33)</f>
        <v>4860418.461283504</v>
      </c>
      <c r="D15" s="376">
        <f t="shared" si="3"/>
        <v>9006629.3142148331</v>
      </c>
      <c r="E15" s="376">
        <f t="shared" si="3"/>
        <v>12831206.397772923</v>
      </c>
      <c r="F15" s="376">
        <f t="shared" si="3"/>
        <v>12831206.397772923</v>
      </c>
      <c r="G15" s="376">
        <f t="shared" si="3"/>
        <v>12831206.397772923</v>
      </c>
      <c r="H15" s="376">
        <f t="shared" si="3"/>
        <v>12856496.584624134</v>
      </c>
      <c r="I15" s="376">
        <f t="shared" si="3"/>
        <v>12856496.584624134</v>
      </c>
      <c r="J15" s="376">
        <f t="shared" si="3"/>
        <v>12856496.584624134</v>
      </c>
      <c r="K15" s="376">
        <f t="shared" si="3"/>
        <v>12856496.584624134</v>
      </c>
      <c r="L15" s="376">
        <f t="shared" si="3"/>
        <v>12856496.584624134</v>
      </c>
      <c r="M15" s="376">
        <f t="shared" si="3"/>
        <v>13676806.257672861</v>
      </c>
      <c r="N15" s="376">
        <f t="shared" si="3"/>
        <v>13676806.257672861</v>
      </c>
      <c r="O15" s="376">
        <f t="shared" si="3"/>
        <v>13676806.257672861</v>
      </c>
      <c r="P15" s="376">
        <f t="shared" si="3"/>
        <v>13676806.257672861</v>
      </c>
      <c r="Q15" s="376">
        <f t="shared" si="3"/>
        <v>13676806.257672861</v>
      </c>
      <c r="R15" s="376">
        <f t="shared" si="3"/>
        <v>14211228.432860576</v>
      </c>
      <c r="S15" s="376">
        <f t="shared" si="3"/>
        <v>14211228.432860576</v>
      </c>
      <c r="T15" s="376">
        <f t="shared" si="3"/>
        <v>14211228.432860576</v>
      </c>
      <c r="U15" s="376">
        <f t="shared" si="3"/>
        <v>14211228.432860576</v>
      </c>
      <c r="V15" s="376">
        <f t="shared" si="3"/>
        <v>14211228.432860576</v>
      </c>
      <c r="W15" s="376">
        <f t="shared" si="3"/>
        <v>14211228.432860576</v>
      </c>
      <c r="X15" s="376">
        <f t="shared" si="3"/>
        <v>14211228.432860576</v>
      </c>
      <c r="Y15" s="376">
        <f t="shared" si="3"/>
        <v>14211228.432860576</v>
      </c>
      <c r="Z15" s="376">
        <f t="shared" si="3"/>
        <v>14211228.432860576</v>
      </c>
      <c r="AA15" s="376">
        <f t="shared" si="3"/>
        <v>14211228.432860576</v>
      </c>
      <c r="AB15" s="377">
        <f t="shared" si="2"/>
        <v>327139465.50890779</v>
      </c>
    </row>
    <row r="16" spans="2:28" ht="15.5" x14ac:dyDescent="0.25">
      <c r="B16" s="378" t="s">
        <v>357</v>
      </c>
      <c r="C16" s="370">
        <f>'Memória-m²_trei_estaç_tel_agua'!J59*0</f>
        <v>0</v>
      </c>
      <c r="D16" s="370">
        <f>(('Memória-m²_trei_estaç_tel_agua'!J59)/12)*6</f>
        <v>47427.647058823539</v>
      </c>
      <c r="E16" s="370">
        <f>'Memória-m²_trei_estaç_tel_agua'!J59</f>
        <v>94855.294117647078</v>
      </c>
      <c r="F16" s="370">
        <f t="shared" ref="F16:L18" si="4">E16</f>
        <v>94855.294117647078</v>
      </c>
      <c r="G16" s="370">
        <f t="shared" si="4"/>
        <v>94855.294117647078</v>
      </c>
      <c r="H16" s="370">
        <f t="shared" si="4"/>
        <v>94855.294117647078</v>
      </c>
      <c r="I16" s="370">
        <f t="shared" si="4"/>
        <v>94855.294117647078</v>
      </c>
      <c r="J16" s="370">
        <f t="shared" si="4"/>
        <v>94855.294117647078</v>
      </c>
      <c r="K16" s="370">
        <f t="shared" si="4"/>
        <v>94855.294117647078</v>
      </c>
      <c r="L16" s="370">
        <f t="shared" si="4"/>
        <v>94855.294117647078</v>
      </c>
      <c r="M16" s="370">
        <f>'Memória-m²_trei_estaç_tel_agua'!Q59</f>
        <v>111594.46366782009</v>
      </c>
      <c r="N16" s="370">
        <f t="shared" ref="N16:Q33" si="5">M16</f>
        <v>111594.46366782009</v>
      </c>
      <c r="O16" s="370">
        <f t="shared" si="5"/>
        <v>111594.46366782009</v>
      </c>
      <c r="P16" s="370">
        <f t="shared" si="5"/>
        <v>111594.46366782009</v>
      </c>
      <c r="Q16" s="370">
        <f t="shared" si="5"/>
        <v>111594.46366782009</v>
      </c>
      <c r="R16" s="370">
        <f>'Memória-m²_trei_estaç_tel_agua'!X59</f>
        <v>131287.60431508243</v>
      </c>
      <c r="S16" s="370">
        <f t="shared" ref="S16:AA16" si="6">R16</f>
        <v>131287.60431508243</v>
      </c>
      <c r="T16" s="370">
        <f t="shared" si="6"/>
        <v>131287.60431508243</v>
      </c>
      <c r="U16" s="370">
        <f t="shared" si="6"/>
        <v>131287.60431508243</v>
      </c>
      <c r="V16" s="370">
        <f t="shared" si="6"/>
        <v>131287.60431508243</v>
      </c>
      <c r="W16" s="370">
        <f t="shared" si="6"/>
        <v>131287.60431508243</v>
      </c>
      <c r="X16" s="370">
        <f t="shared" si="6"/>
        <v>131287.60431508243</v>
      </c>
      <c r="Y16" s="370">
        <f t="shared" si="6"/>
        <v>131287.60431508243</v>
      </c>
      <c r="Z16" s="370">
        <f t="shared" si="6"/>
        <v>131287.60431508243</v>
      </c>
      <c r="AA16" s="370">
        <f t="shared" si="6"/>
        <v>131287.60431508243</v>
      </c>
      <c r="AB16" s="379">
        <f t="shared" si="2"/>
        <v>2677118.3614899265</v>
      </c>
    </row>
    <row r="17" spans="2:28" ht="15.5" x14ac:dyDescent="0.25">
      <c r="B17" s="380" t="s">
        <v>358</v>
      </c>
      <c r="C17" s="370">
        <f>'Memória-energia elétrica'!J73*0</f>
        <v>0</v>
      </c>
      <c r="D17" s="370">
        <f>(('Memória-energia elétrica'!J73)/12)*6</f>
        <v>525810.98008850601</v>
      </c>
      <c r="E17" s="370">
        <f>'Memória-energia elétrica'!J73</f>
        <v>1051621.960177012</v>
      </c>
      <c r="F17" s="370">
        <f t="shared" si="4"/>
        <v>1051621.960177012</v>
      </c>
      <c r="G17" s="370">
        <f t="shared" si="4"/>
        <v>1051621.960177012</v>
      </c>
      <c r="H17" s="370">
        <f t="shared" si="4"/>
        <v>1051621.960177012</v>
      </c>
      <c r="I17" s="370">
        <f t="shared" si="4"/>
        <v>1051621.960177012</v>
      </c>
      <c r="J17" s="370">
        <f t="shared" si="4"/>
        <v>1051621.960177012</v>
      </c>
      <c r="K17" s="370">
        <f t="shared" si="4"/>
        <v>1051621.960177012</v>
      </c>
      <c r="L17" s="370">
        <f t="shared" si="4"/>
        <v>1051621.960177012</v>
      </c>
      <c r="M17" s="370">
        <f>'Memória-energia elétrica'!J74</f>
        <v>1266414.6666174978</v>
      </c>
      <c r="N17" s="370">
        <f t="shared" si="5"/>
        <v>1266414.6666174978</v>
      </c>
      <c r="O17" s="370">
        <f t="shared" si="5"/>
        <v>1266414.6666174978</v>
      </c>
      <c r="P17" s="370">
        <f t="shared" si="5"/>
        <v>1266414.6666174978</v>
      </c>
      <c r="Q17" s="370">
        <f t="shared" si="5"/>
        <v>1266414.6666174978</v>
      </c>
      <c r="R17" s="370">
        <f>'Memória-energia elétrica'!J75</f>
        <v>1340456.8261576602</v>
      </c>
      <c r="S17" s="370">
        <f t="shared" ref="S17:AA17" si="7">R17</f>
        <v>1340456.8261576602</v>
      </c>
      <c r="T17" s="370">
        <f t="shared" si="7"/>
        <v>1340456.8261576602</v>
      </c>
      <c r="U17" s="370">
        <f t="shared" si="7"/>
        <v>1340456.8261576602</v>
      </c>
      <c r="V17" s="370">
        <f t="shared" si="7"/>
        <v>1340456.8261576602</v>
      </c>
      <c r="W17" s="370">
        <f t="shared" si="7"/>
        <v>1340456.8261576602</v>
      </c>
      <c r="X17" s="370">
        <f t="shared" si="7"/>
        <v>1340456.8261576602</v>
      </c>
      <c r="Y17" s="370">
        <f t="shared" si="7"/>
        <v>1340456.8261576602</v>
      </c>
      <c r="Z17" s="370">
        <f t="shared" si="7"/>
        <v>1340456.8261576602</v>
      </c>
      <c r="AA17" s="370">
        <f t="shared" si="7"/>
        <v>1340456.8261576602</v>
      </c>
      <c r="AB17" s="379">
        <f t="shared" si="2"/>
        <v>28675428.256168686</v>
      </c>
    </row>
    <row r="18" spans="2:28" ht="15.5" x14ac:dyDescent="0.25">
      <c r="B18" s="380" t="s">
        <v>359</v>
      </c>
      <c r="C18" s="381">
        <f>'Memória-m²_trei_estaç_tel_agua'!N59*12*0</f>
        <v>0</v>
      </c>
      <c r="D18" s="373">
        <f>'Memória-m²_trei_estaç_tel_agua'!N59*6</f>
        <v>11706.393128719072</v>
      </c>
      <c r="E18" s="373">
        <f>'Memória-m²_trei_estaç_tel_agua'!N59*12</f>
        <v>23412.786257438143</v>
      </c>
      <c r="F18" s="373">
        <f t="shared" si="4"/>
        <v>23412.786257438143</v>
      </c>
      <c r="G18" s="373">
        <f t="shared" si="4"/>
        <v>23412.786257438143</v>
      </c>
      <c r="H18" s="373">
        <f t="shared" si="4"/>
        <v>23412.786257438143</v>
      </c>
      <c r="I18" s="373">
        <f t="shared" si="4"/>
        <v>23412.786257438143</v>
      </c>
      <c r="J18" s="373">
        <f t="shared" si="4"/>
        <v>23412.786257438143</v>
      </c>
      <c r="K18" s="373">
        <f t="shared" si="4"/>
        <v>23412.786257438143</v>
      </c>
      <c r="L18" s="373">
        <f t="shared" si="4"/>
        <v>23412.786257438143</v>
      </c>
      <c r="M18" s="373">
        <f>'Memória-m²_trei_estaç_tel_agua'!U59*12</f>
        <v>25247.319522401071</v>
      </c>
      <c r="N18" s="373">
        <f t="shared" si="5"/>
        <v>25247.319522401071</v>
      </c>
      <c r="O18" s="373">
        <f t="shared" si="5"/>
        <v>25247.319522401071</v>
      </c>
      <c r="P18" s="373">
        <f t="shared" si="5"/>
        <v>25247.319522401071</v>
      </c>
      <c r="Q18" s="373">
        <f t="shared" si="5"/>
        <v>25247.319522401071</v>
      </c>
      <c r="R18" s="373">
        <f>'Memória-m²_trei_estaç_tel_agua'!AB59*12</f>
        <v>70319.805007203424</v>
      </c>
      <c r="S18" s="373">
        <f t="shared" ref="S18:AA18" si="8">R18</f>
        <v>70319.805007203424</v>
      </c>
      <c r="T18" s="373">
        <f t="shared" si="8"/>
        <v>70319.805007203424</v>
      </c>
      <c r="U18" s="373">
        <f t="shared" si="8"/>
        <v>70319.805007203424</v>
      </c>
      <c r="V18" s="373">
        <f t="shared" si="8"/>
        <v>70319.805007203424</v>
      </c>
      <c r="W18" s="373">
        <f t="shared" si="8"/>
        <v>70319.805007203424</v>
      </c>
      <c r="X18" s="373">
        <f t="shared" si="8"/>
        <v>70319.805007203424</v>
      </c>
      <c r="Y18" s="373">
        <f t="shared" si="8"/>
        <v>70319.805007203424</v>
      </c>
      <c r="Z18" s="373">
        <f t="shared" si="8"/>
        <v>70319.805007203424</v>
      </c>
      <c r="AA18" s="373">
        <f t="shared" si="8"/>
        <v>70319.805007203424</v>
      </c>
      <c r="AB18" s="379">
        <f t="shared" si="2"/>
        <v>1028443.3308722642</v>
      </c>
    </row>
    <row r="19" spans="2:28" ht="15.5" x14ac:dyDescent="0.25">
      <c r="B19" s="380" t="s">
        <v>360</v>
      </c>
      <c r="C19" s="370">
        <f>'Memória-m²_trei_estaç_tel_agua'!M59*12*0</f>
        <v>0</v>
      </c>
      <c r="D19" s="370">
        <f>('Memória-m²_trei_estaç_tel_agua'!M50+(('Anexo V - ano 1 a 10 - inicial'!D52+'Anexo V - ano 1 a 10 - inicial'!D53)*'Memória-m²_trei_estaç_tel_agua'!F13))*6</f>
        <v>92731.183391003462</v>
      </c>
      <c r="E19" s="370">
        <f>('Memória-m²_trei_estaç_tel_agua'!M50+(('Anexo V - ano 1 a 10 - inicial'!D52+'Anexo V - ano 1 a 10 - inicial'!D53)*'Memória-m²_trei_estaç_tel_agua'!F13))*12</f>
        <v>185462.36678200692</v>
      </c>
      <c r="F19" s="370">
        <f t="shared" ref="F19:G30" si="9">E19</f>
        <v>185462.36678200692</v>
      </c>
      <c r="G19" s="370">
        <f t="shared" si="9"/>
        <v>185462.36678200692</v>
      </c>
      <c r="H19" s="370">
        <f>('Memória-m²_trei_estaç_tel_agua'!T50+(('Anexo V - ano 1 a 10 - inicial'!D52+'Anexo V - ano 1 a 10 - inicial'!D53)*'Memória-m²_trei_estaç_tel_agua'!F13))*12</f>
        <v>210752.55363321799</v>
      </c>
      <c r="I19" s="370">
        <f>H19</f>
        <v>210752.55363321799</v>
      </c>
      <c r="J19" s="370">
        <f>I19</f>
        <v>210752.55363321799</v>
      </c>
      <c r="K19" s="370">
        <f>J19</f>
        <v>210752.55363321799</v>
      </c>
      <c r="L19" s="370">
        <f>K19</f>
        <v>210752.55363321799</v>
      </c>
      <c r="M19" s="370">
        <f>('Memória-m²_trei_estaç_tel_agua'!AA50+(('Anexo V - ano 1 a 10 - inicial'!D52+'Anexo V - ano 1 a 10 - inicial'!D53)*'Memória-m²_trei_estaç_tel_agua'!F13))*12</f>
        <v>242073.69183798088</v>
      </c>
      <c r="N19" s="370">
        <f t="shared" si="5"/>
        <v>242073.69183798088</v>
      </c>
      <c r="O19" s="370">
        <f t="shared" si="5"/>
        <v>242073.69183798088</v>
      </c>
      <c r="P19" s="370">
        <f t="shared" si="5"/>
        <v>242073.69183798088</v>
      </c>
      <c r="Q19" s="370">
        <f t="shared" si="5"/>
        <v>242073.69183798088</v>
      </c>
      <c r="R19" s="370">
        <f>Q19</f>
        <v>242073.69183798088</v>
      </c>
      <c r="S19" s="370">
        <f t="shared" ref="S19:AA19" si="10">R19</f>
        <v>242073.69183798088</v>
      </c>
      <c r="T19" s="370">
        <f t="shared" si="10"/>
        <v>242073.69183798088</v>
      </c>
      <c r="U19" s="370">
        <f t="shared" si="10"/>
        <v>242073.69183798088</v>
      </c>
      <c r="V19" s="370">
        <f t="shared" si="10"/>
        <v>242073.69183798088</v>
      </c>
      <c r="W19" s="370">
        <f t="shared" si="10"/>
        <v>242073.69183798088</v>
      </c>
      <c r="X19" s="370">
        <f t="shared" si="10"/>
        <v>242073.69183798088</v>
      </c>
      <c r="Y19" s="370">
        <f t="shared" si="10"/>
        <v>242073.69183798088</v>
      </c>
      <c r="Z19" s="370">
        <f t="shared" si="10"/>
        <v>242073.69183798088</v>
      </c>
      <c r="AA19" s="370">
        <f t="shared" si="10"/>
        <v>242073.69183798088</v>
      </c>
      <c r="AB19" s="379">
        <f t="shared" si="2"/>
        <v>5333986.4294728283</v>
      </c>
    </row>
    <row r="20" spans="2:28" ht="15.5" x14ac:dyDescent="0.25">
      <c r="B20" s="380" t="s">
        <v>361</v>
      </c>
      <c r="C20" s="370">
        <f>'Memória-IPTU ITR'!C25</f>
        <v>100702.47298472913</v>
      </c>
      <c r="D20" s="370">
        <f>'Memória-IPTU ITR'!D25</f>
        <v>422336.24235796474</v>
      </c>
      <c r="E20" s="370">
        <f>'Memória-IPTU ITR'!E25</f>
        <v>422336.24235796474</v>
      </c>
      <c r="F20" s="370">
        <f t="shared" si="9"/>
        <v>422336.24235796474</v>
      </c>
      <c r="G20" s="370">
        <f t="shared" si="9"/>
        <v>422336.24235796474</v>
      </c>
      <c r="H20" s="370">
        <f>G20</f>
        <v>422336.24235796474</v>
      </c>
      <c r="I20" s="370">
        <f t="shared" ref="I20" si="11">H20</f>
        <v>422336.24235796474</v>
      </c>
      <c r="J20" s="370">
        <f t="shared" ref="J20:L30" si="12">I20</f>
        <v>422336.24235796474</v>
      </c>
      <c r="K20" s="370">
        <f t="shared" si="12"/>
        <v>422336.24235796474</v>
      </c>
      <c r="L20" s="370">
        <f t="shared" si="12"/>
        <v>422336.24235796474</v>
      </c>
      <c r="M20" s="370">
        <f>'Memória-IPTU ITR'!F25</f>
        <v>517359.61711558816</v>
      </c>
      <c r="N20" s="370">
        <f t="shared" si="5"/>
        <v>517359.61711558816</v>
      </c>
      <c r="O20" s="370">
        <f t="shared" si="5"/>
        <v>517359.61711558816</v>
      </c>
      <c r="P20" s="370">
        <f t="shared" si="5"/>
        <v>517359.61711558816</v>
      </c>
      <c r="Q20" s="370">
        <f t="shared" si="5"/>
        <v>517359.61711558816</v>
      </c>
      <c r="R20" s="370">
        <f>'Memória-IPTU ITR'!G25</f>
        <v>581991.06845128862</v>
      </c>
      <c r="S20" s="370">
        <f t="shared" ref="S20:AA20" si="13">R20</f>
        <v>581991.06845128862</v>
      </c>
      <c r="T20" s="370">
        <f t="shared" si="13"/>
        <v>581991.06845128862</v>
      </c>
      <c r="U20" s="370">
        <f t="shared" si="13"/>
        <v>581991.06845128862</v>
      </c>
      <c r="V20" s="370">
        <f t="shared" si="13"/>
        <v>581991.06845128862</v>
      </c>
      <c r="W20" s="370">
        <f t="shared" si="13"/>
        <v>581991.06845128862</v>
      </c>
      <c r="X20" s="370">
        <f t="shared" si="13"/>
        <v>581991.06845128862</v>
      </c>
      <c r="Y20" s="370">
        <f t="shared" si="13"/>
        <v>581991.06845128862</v>
      </c>
      <c r="Z20" s="370">
        <f t="shared" si="13"/>
        <v>581991.06845128862</v>
      </c>
      <c r="AA20" s="370">
        <f t="shared" si="13"/>
        <v>581991.06845128862</v>
      </c>
      <c r="AB20" s="379">
        <f t="shared" si="2"/>
        <v>12308437.424297241</v>
      </c>
    </row>
    <row r="21" spans="2:28" ht="15.5" x14ac:dyDescent="0.25">
      <c r="B21" s="380" t="s">
        <v>362</v>
      </c>
      <c r="C21" s="370">
        <f>'Memória-IPTU ITR'!G13</f>
        <v>4044866.1642987751</v>
      </c>
      <c r="D21" s="370">
        <f>C21</f>
        <v>4044866.1642987751</v>
      </c>
      <c r="E21" s="370">
        <f>D21</f>
        <v>4044866.1642987751</v>
      </c>
      <c r="F21" s="370">
        <f t="shared" si="9"/>
        <v>4044866.1642987751</v>
      </c>
      <c r="G21" s="370">
        <f t="shared" si="9"/>
        <v>4044866.1642987751</v>
      </c>
      <c r="H21" s="370">
        <f>G21</f>
        <v>4044866.1642987751</v>
      </c>
      <c r="I21" s="370">
        <f t="shared" ref="I21:I30" si="14">H21</f>
        <v>4044866.1642987751</v>
      </c>
      <c r="J21" s="370">
        <f t="shared" si="12"/>
        <v>4044866.1642987751</v>
      </c>
      <c r="K21" s="370">
        <f t="shared" si="12"/>
        <v>4044866.1642987751</v>
      </c>
      <c r="L21" s="370">
        <f t="shared" si="12"/>
        <v>4044866.1642987751</v>
      </c>
      <c r="M21" s="370">
        <f>L21</f>
        <v>4044866.1642987751</v>
      </c>
      <c r="N21" s="370">
        <f t="shared" si="5"/>
        <v>4044866.1642987751</v>
      </c>
      <c r="O21" s="370">
        <f t="shared" si="5"/>
        <v>4044866.1642987751</v>
      </c>
      <c r="P21" s="370">
        <f t="shared" si="5"/>
        <v>4044866.1642987751</v>
      </c>
      <c r="Q21" s="370">
        <f t="shared" si="5"/>
        <v>4044866.1642987751</v>
      </c>
      <c r="R21" s="370">
        <f>Q21</f>
        <v>4044866.1642987751</v>
      </c>
      <c r="S21" s="370">
        <f t="shared" ref="S21:AA21" si="15">R21</f>
        <v>4044866.1642987751</v>
      </c>
      <c r="T21" s="370">
        <f t="shared" si="15"/>
        <v>4044866.1642987751</v>
      </c>
      <c r="U21" s="370">
        <f t="shared" si="15"/>
        <v>4044866.1642987751</v>
      </c>
      <c r="V21" s="370">
        <f t="shared" si="15"/>
        <v>4044866.1642987751</v>
      </c>
      <c r="W21" s="370">
        <f t="shared" si="15"/>
        <v>4044866.1642987751</v>
      </c>
      <c r="X21" s="370">
        <f t="shared" si="15"/>
        <v>4044866.1642987751</v>
      </c>
      <c r="Y21" s="370">
        <f t="shared" si="15"/>
        <v>4044866.1642987751</v>
      </c>
      <c r="Z21" s="370">
        <f t="shared" si="15"/>
        <v>4044866.1642987751</v>
      </c>
      <c r="AA21" s="370">
        <f t="shared" si="15"/>
        <v>4044866.1642987751</v>
      </c>
      <c r="AB21" s="379">
        <f t="shared" si="2"/>
        <v>101121654.10746935</v>
      </c>
    </row>
    <row r="22" spans="2:28" ht="15.5" x14ac:dyDescent="0.35">
      <c r="B22" s="372" t="s">
        <v>363</v>
      </c>
      <c r="C22" s="381">
        <f>'Memória-vig_limp_consul_OUTROS'!J21*0</f>
        <v>0</v>
      </c>
      <c r="D22" s="373">
        <f>(('Memória-vig_limp_consul_OUTROS'!J21)/12)*6</f>
        <v>464357.58171535871</v>
      </c>
      <c r="E22" s="373">
        <f>'Memória-vig_limp_consul_OUTROS'!J21</f>
        <v>928715.16343071742</v>
      </c>
      <c r="F22" s="373">
        <f t="shared" si="9"/>
        <v>928715.16343071742</v>
      </c>
      <c r="G22" s="373">
        <f t="shared" si="9"/>
        <v>928715.16343071742</v>
      </c>
      <c r="H22" s="373">
        <f>G22</f>
        <v>928715.16343071742</v>
      </c>
      <c r="I22" s="373">
        <f t="shared" si="14"/>
        <v>928715.16343071742</v>
      </c>
      <c r="J22" s="373">
        <f t="shared" si="12"/>
        <v>928715.16343071742</v>
      </c>
      <c r="K22" s="373">
        <f t="shared" si="12"/>
        <v>928715.16343071742</v>
      </c>
      <c r="L22" s="373">
        <f t="shared" si="12"/>
        <v>928715.16343071742</v>
      </c>
      <c r="M22" s="373">
        <f>'Memória-vig_limp_consul_OUTROS'!J22</f>
        <v>1148066.9768737734</v>
      </c>
      <c r="N22" s="373">
        <f t="shared" si="5"/>
        <v>1148066.9768737734</v>
      </c>
      <c r="O22" s="373">
        <f t="shared" si="5"/>
        <v>1148066.9768737734</v>
      </c>
      <c r="P22" s="373">
        <f t="shared" si="5"/>
        <v>1148066.9768737734</v>
      </c>
      <c r="Q22" s="373">
        <f t="shared" si="5"/>
        <v>1148066.9768737734</v>
      </c>
      <c r="R22" s="373">
        <f>'Memória-vig_limp_consul_OUTROS'!J23</f>
        <v>1318306.7061301738</v>
      </c>
      <c r="S22" s="373">
        <f t="shared" ref="S22:AA22" si="16">R22</f>
        <v>1318306.7061301738</v>
      </c>
      <c r="T22" s="373">
        <f t="shared" si="16"/>
        <v>1318306.7061301738</v>
      </c>
      <c r="U22" s="373">
        <f t="shared" si="16"/>
        <v>1318306.7061301738</v>
      </c>
      <c r="V22" s="373">
        <f t="shared" si="16"/>
        <v>1318306.7061301738</v>
      </c>
      <c r="W22" s="373">
        <f t="shared" si="16"/>
        <v>1318306.7061301738</v>
      </c>
      <c r="X22" s="373">
        <f t="shared" si="16"/>
        <v>1318306.7061301738</v>
      </c>
      <c r="Y22" s="373">
        <f t="shared" si="16"/>
        <v>1318306.7061301738</v>
      </c>
      <c r="Z22" s="373">
        <f t="shared" si="16"/>
        <v>1318306.7061301738</v>
      </c>
      <c r="AA22" s="373">
        <f t="shared" si="16"/>
        <v>1318306.7061301738</v>
      </c>
      <c r="AB22" s="382">
        <f t="shared" si="2"/>
        <v>26817480.8348317</v>
      </c>
    </row>
    <row r="23" spans="2:28" ht="15.5" x14ac:dyDescent="0.35">
      <c r="B23" s="372" t="s">
        <v>364</v>
      </c>
      <c r="C23" s="370">
        <f>'Memória-vig_limp_consul_OUTROS'!G13*0</f>
        <v>0</v>
      </c>
      <c r="D23" s="370">
        <f>(('Memória-vig_limp_consul_OUTROS'!G13)/12)*6</f>
        <v>343786.42666666664</v>
      </c>
      <c r="E23" s="370">
        <f>'Memória-vig_limp_consul_OUTROS'!G13</f>
        <v>687572.85333333327</v>
      </c>
      <c r="F23" s="370">
        <f t="shared" si="9"/>
        <v>687572.85333333327</v>
      </c>
      <c r="G23" s="370">
        <f t="shared" si="9"/>
        <v>687572.85333333327</v>
      </c>
      <c r="H23" s="370">
        <f>'Memória-vig_limp_consul_OUTROS'!G14</f>
        <v>687572.85333333327</v>
      </c>
      <c r="I23" s="370">
        <f t="shared" si="14"/>
        <v>687572.85333333327</v>
      </c>
      <c r="J23" s="370">
        <f t="shared" si="12"/>
        <v>687572.85333333327</v>
      </c>
      <c r="K23" s="370">
        <f t="shared" si="12"/>
        <v>687572.85333333327</v>
      </c>
      <c r="L23" s="370">
        <f t="shared" si="12"/>
        <v>687572.85333333327</v>
      </c>
      <c r="M23" s="370">
        <f>'Memória-vig_limp_consul_OUTROS'!G15</f>
        <v>687572.85333333327</v>
      </c>
      <c r="N23" s="370">
        <f t="shared" si="5"/>
        <v>687572.85333333327</v>
      </c>
      <c r="O23" s="370">
        <f t="shared" si="5"/>
        <v>687572.85333333327</v>
      </c>
      <c r="P23" s="370">
        <f t="shared" si="5"/>
        <v>687572.85333333327</v>
      </c>
      <c r="Q23" s="370">
        <f t="shared" si="5"/>
        <v>687572.85333333327</v>
      </c>
      <c r="R23" s="370">
        <f>Q23</f>
        <v>687572.85333333327</v>
      </c>
      <c r="S23" s="370">
        <f t="shared" ref="S23:AA23" si="17">R23</f>
        <v>687572.85333333327</v>
      </c>
      <c r="T23" s="370">
        <f t="shared" si="17"/>
        <v>687572.85333333327</v>
      </c>
      <c r="U23" s="370">
        <f t="shared" si="17"/>
        <v>687572.85333333327</v>
      </c>
      <c r="V23" s="370">
        <f t="shared" si="17"/>
        <v>687572.85333333327</v>
      </c>
      <c r="W23" s="370">
        <f t="shared" si="17"/>
        <v>687572.85333333327</v>
      </c>
      <c r="X23" s="370">
        <f t="shared" si="17"/>
        <v>687572.85333333327</v>
      </c>
      <c r="Y23" s="370">
        <f t="shared" si="17"/>
        <v>687572.85333333327</v>
      </c>
      <c r="Z23" s="370">
        <f t="shared" si="17"/>
        <v>687572.85333333327</v>
      </c>
      <c r="AA23" s="370">
        <f t="shared" si="17"/>
        <v>687572.85333333327</v>
      </c>
      <c r="AB23" s="379">
        <f t="shared" si="2"/>
        <v>16157962.053333336</v>
      </c>
    </row>
    <row r="24" spans="2:28" ht="15.5" x14ac:dyDescent="0.35">
      <c r="B24" s="372" t="s">
        <v>365</v>
      </c>
      <c r="C24" s="370">
        <f>'Memória-vig_limp_consul_OUTROS'!E28</f>
        <v>373510.94400000002</v>
      </c>
      <c r="D24" s="370">
        <f t="shared" ref="D24:E26" si="18">C24</f>
        <v>373510.94400000002</v>
      </c>
      <c r="E24" s="370">
        <f t="shared" si="18"/>
        <v>373510.94400000002</v>
      </c>
      <c r="F24" s="370">
        <f t="shared" si="9"/>
        <v>373510.94400000002</v>
      </c>
      <c r="G24" s="370">
        <f t="shared" si="9"/>
        <v>373510.94400000002</v>
      </c>
      <c r="H24" s="370">
        <f>'Memória-vig_limp_consul_OUTROS'!E29</f>
        <v>373510.94400000002</v>
      </c>
      <c r="I24" s="370">
        <f t="shared" si="14"/>
        <v>373510.94400000002</v>
      </c>
      <c r="J24" s="370">
        <f t="shared" si="12"/>
        <v>373510.94400000002</v>
      </c>
      <c r="K24" s="370">
        <f t="shared" si="12"/>
        <v>373510.94400000002</v>
      </c>
      <c r="L24" s="370">
        <f t="shared" si="12"/>
        <v>373510.94400000002</v>
      </c>
      <c r="M24" s="370">
        <f>'Memória-vig_limp_consul_OUTROS'!E30</f>
        <v>373510.94400000002</v>
      </c>
      <c r="N24" s="370">
        <f t="shared" si="5"/>
        <v>373510.94400000002</v>
      </c>
      <c r="O24" s="370">
        <f t="shared" si="5"/>
        <v>373510.94400000002</v>
      </c>
      <c r="P24" s="370">
        <f t="shared" si="5"/>
        <v>373510.94400000002</v>
      </c>
      <c r="Q24" s="370">
        <f t="shared" si="5"/>
        <v>373510.94400000002</v>
      </c>
      <c r="R24" s="370">
        <f>Q24</f>
        <v>373510.94400000002</v>
      </c>
      <c r="S24" s="370">
        <f t="shared" ref="S24:AA24" si="19">R24</f>
        <v>373510.94400000002</v>
      </c>
      <c r="T24" s="370">
        <f t="shared" si="19"/>
        <v>373510.94400000002</v>
      </c>
      <c r="U24" s="370">
        <f t="shared" si="19"/>
        <v>373510.94400000002</v>
      </c>
      <c r="V24" s="370">
        <f t="shared" si="19"/>
        <v>373510.94400000002</v>
      </c>
      <c r="W24" s="370">
        <f t="shared" si="19"/>
        <v>373510.94400000002</v>
      </c>
      <c r="X24" s="370">
        <f t="shared" si="19"/>
        <v>373510.94400000002</v>
      </c>
      <c r="Y24" s="370">
        <f t="shared" si="19"/>
        <v>373510.94400000002</v>
      </c>
      <c r="Z24" s="370">
        <f t="shared" si="19"/>
        <v>373510.94400000002</v>
      </c>
      <c r="AA24" s="370">
        <f t="shared" si="19"/>
        <v>373510.94400000002</v>
      </c>
      <c r="AB24" s="379">
        <f t="shared" si="2"/>
        <v>9337773.6000000015</v>
      </c>
    </row>
    <row r="25" spans="2:28" ht="15.5" x14ac:dyDescent="0.35">
      <c r="B25" s="372" t="s">
        <v>366</v>
      </c>
      <c r="C25" s="381">
        <f>'Memória-vig_limp_consul_OUTROS'!E35</f>
        <v>150000</v>
      </c>
      <c r="D25" s="373">
        <f t="shared" si="18"/>
        <v>150000</v>
      </c>
      <c r="E25" s="373">
        <f t="shared" si="18"/>
        <v>150000</v>
      </c>
      <c r="F25" s="373">
        <f t="shared" si="9"/>
        <v>150000</v>
      </c>
      <c r="G25" s="373">
        <f t="shared" si="9"/>
        <v>150000</v>
      </c>
      <c r="H25" s="373">
        <f>'Memória-vig_limp_consul_OUTROS'!E36</f>
        <v>150000</v>
      </c>
      <c r="I25" s="373">
        <f t="shared" si="14"/>
        <v>150000</v>
      </c>
      <c r="J25" s="373">
        <f t="shared" si="12"/>
        <v>150000</v>
      </c>
      <c r="K25" s="373">
        <f t="shared" si="12"/>
        <v>150000</v>
      </c>
      <c r="L25" s="373">
        <f t="shared" si="12"/>
        <v>150000</v>
      </c>
      <c r="M25" s="373">
        <f>'Memória-vig_limp_consul_OUTROS'!E36</f>
        <v>150000</v>
      </c>
      <c r="N25" s="373">
        <f t="shared" si="5"/>
        <v>150000</v>
      </c>
      <c r="O25" s="373">
        <f t="shared" si="5"/>
        <v>150000</v>
      </c>
      <c r="P25" s="373">
        <f t="shared" si="5"/>
        <v>150000</v>
      </c>
      <c r="Q25" s="373">
        <f t="shared" si="5"/>
        <v>150000</v>
      </c>
      <c r="R25" s="373">
        <f>Q25</f>
        <v>150000</v>
      </c>
      <c r="S25" s="373">
        <f t="shared" ref="S25:AA25" si="20">R25</f>
        <v>150000</v>
      </c>
      <c r="T25" s="373">
        <f t="shared" si="20"/>
        <v>150000</v>
      </c>
      <c r="U25" s="373">
        <f t="shared" si="20"/>
        <v>150000</v>
      </c>
      <c r="V25" s="373">
        <f t="shared" si="20"/>
        <v>150000</v>
      </c>
      <c r="W25" s="373">
        <f t="shared" si="20"/>
        <v>150000</v>
      </c>
      <c r="X25" s="373">
        <f t="shared" si="20"/>
        <v>150000</v>
      </c>
      <c r="Y25" s="373">
        <f t="shared" si="20"/>
        <v>150000</v>
      </c>
      <c r="Z25" s="373">
        <f t="shared" si="20"/>
        <v>150000</v>
      </c>
      <c r="AA25" s="373">
        <f t="shared" si="20"/>
        <v>150000</v>
      </c>
      <c r="AB25" s="382">
        <f t="shared" si="2"/>
        <v>3750000</v>
      </c>
    </row>
    <row r="26" spans="2:28" ht="15.5" x14ac:dyDescent="0.35">
      <c r="B26" s="372" t="s">
        <v>367</v>
      </c>
      <c r="C26" s="370">
        <f>'Memória-vig_limp_consul_OUTROS'!E42</f>
        <v>93338.880000000005</v>
      </c>
      <c r="D26" s="370">
        <f t="shared" si="18"/>
        <v>93338.880000000005</v>
      </c>
      <c r="E26" s="370">
        <f t="shared" si="18"/>
        <v>93338.880000000005</v>
      </c>
      <c r="F26" s="370">
        <f t="shared" si="9"/>
        <v>93338.880000000005</v>
      </c>
      <c r="G26" s="370">
        <f t="shared" si="9"/>
        <v>93338.880000000005</v>
      </c>
      <c r="H26" s="370">
        <f>'Memória-vig_limp_consul_OUTROS'!E43</f>
        <v>93338.880000000005</v>
      </c>
      <c r="I26" s="370">
        <f t="shared" si="14"/>
        <v>93338.880000000005</v>
      </c>
      <c r="J26" s="370">
        <f t="shared" si="12"/>
        <v>93338.880000000005</v>
      </c>
      <c r="K26" s="370">
        <f t="shared" si="12"/>
        <v>93338.880000000005</v>
      </c>
      <c r="L26" s="370">
        <f t="shared" si="12"/>
        <v>93338.880000000005</v>
      </c>
      <c r="M26" s="370">
        <f>'Memória-vig_limp_consul_OUTROS'!E43</f>
        <v>93338.880000000005</v>
      </c>
      <c r="N26" s="370">
        <f t="shared" si="5"/>
        <v>93338.880000000005</v>
      </c>
      <c r="O26" s="370">
        <f t="shared" si="5"/>
        <v>93338.880000000005</v>
      </c>
      <c r="P26" s="370">
        <f t="shared" si="5"/>
        <v>93338.880000000005</v>
      </c>
      <c r="Q26" s="370">
        <f t="shared" si="5"/>
        <v>93338.880000000005</v>
      </c>
      <c r="R26" s="370">
        <f>Q26</f>
        <v>93338.880000000005</v>
      </c>
      <c r="S26" s="370">
        <f t="shared" ref="S26:AA26" si="21">R26</f>
        <v>93338.880000000005</v>
      </c>
      <c r="T26" s="370">
        <f t="shared" si="21"/>
        <v>93338.880000000005</v>
      </c>
      <c r="U26" s="370">
        <f t="shared" si="21"/>
        <v>93338.880000000005</v>
      </c>
      <c r="V26" s="370">
        <f t="shared" si="21"/>
        <v>93338.880000000005</v>
      </c>
      <c r="W26" s="370">
        <f t="shared" si="21"/>
        <v>93338.880000000005</v>
      </c>
      <c r="X26" s="370">
        <f t="shared" si="21"/>
        <v>93338.880000000005</v>
      </c>
      <c r="Y26" s="370">
        <f t="shared" si="21"/>
        <v>93338.880000000005</v>
      </c>
      <c r="Z26" s="370">
        <f t="shared" si="21"/>
        <v>93338.880000000005</v>
      </c>
      <c r="AA26" s="370">
        <f t="shared" si="21"/>
        <v>93338.880000000005</v>
      </c>
      <c r="AB26" s="379">
        <f t="shared" si="2"/>
        <v>2333471.9999999986</v>
      </c>
    </row>
    <row r="27" spans="2:28" ht="15.5" x14ac:dyDescent="0.35">
      <c r="B27" s="372" t="s">
        <v>368</v>
      </c>
      <c r="C27" s="370">
        <f>'Memória-m²_trei_estaç_tel_agua'!K59*0</f>
        <v>0</v>
      </c>
      <c r="D27" s="370">
        <f>(('Memória-m²_trei_estaç_tel_agua'!K59)/12)*6</f>
        <v>13232.391073326253</v>
      </c>
      <c r="E27" s="370">
        <f>'Memória-m²_trei_estaç_tel_agua'!K59</f>
        <v>26464.782146652506</v>
      </c>
      <c r="F27" s="370">
        <f t="shared" si="9"/>
        <v>26464.782146652506</v>
      </c>
      <c r="G27" s="370">
        <f t="shared" si="9"/>
        <v>26464.782146652506</v>
      </c>
      <c r="H27" s="370">
        <f>G27</f>
        <v>26464.782146652506</v>
      </c>
      <c r="I27" s="370">
        <f t="shared" si="14"/>
        <v>26464.782146652506</v>
      </c>
      <c r="J27" s="370">
        <f t="shared" si="12"/>
        <v>26464.782146652506</v>
      </c>
      <c r="K27" s="370">
        <f t="shared" si="12"/>
        <v>26464.782146652506</v>
      </c>
      <c r="L27" s="370">
        <f t="shared" si="12"/>
        <v>26464.782146652506</v>
      </c>
      <c r="M27" s="370">
        <f>'Memória-m²_trei_estaç_tel_agua'!R59</f>
        <v>28188.069535088845</v>
      </c>
      <c r="N27" s="370">
        <f t="shared" si="5"/>
        <v>28188.069535088845</v>
      </c>
      <c r="O27" s="370">
        <f t="shared" si="5"/>
        <v>28188.069535088845</v>
      </c>
      <c r="P27" s="370">
        <f t="shared" si="5"/>
        <v>28188.069535088845</v>
      </c>
      <c r="Q27" s="370">
        <f t="shared" si="5"/>
        <v>28188.069535088845</v>
      </c>
      <c r="R27" s="370">
        <f>'Memória-m²_trei_estaç_tel_agua'!Y59</f>
        <v>29955.440526130547</v>
      </c>
      <c r="S27" s="370">
        <f t="shared" ref="S27:AA27" si="22">R27</f>
        <v>29955.440526130547</v>
      </c>
      <c r="T27" s="370">
        <f t="shared" si="22"/>
        <v>29955.440526130547</v>
      </c>
      <c r="U27" s="370">
        <f t="shared" si="22"/>
        <v>29955.440526130547</v>
      </c>
      <c r="V27" s="370">
        <f t="shared" si="22"/>
        <v>29955.440526130547</v>
      </c>
      <c r="W27" s="370">
        <f t="shared" si="22"/>
        <v>29955.440526130547</v>
      </c>
      <c r="X27" s="370">
        <f t="shared" si="22"/>
        <v>29955.440526130547</v>
      </c>
      <c r="Y27" s="370">
        <f t="shared" si="22"/>
        <v>29955.440526130547</v>
      </c>
      <c r="Z27" s="370">
        <f t="shared" si="22"/>
        <v>29955.440526130547</v>
      </c>
      <c r="AA27" s="370">
        <f t="shared" si="22"/>
        <v>29955.440526130547</v>
      </c>
      <c r="AB27" s="379">
        <f t="shared" si="2"/>
        <v>665445.40118329576</v>
      </c>
    </row>
    <row r="28" spans="2:28" ht="15.5" x14ac:dyDescent="0.35">
      <c r="B28" s="372" t="s">
        <v>369</v>
      </c>
      <c r="C28" s="381">
        <f>'Memória-vig_limp_consul_OUTROS'!M57*0</f>
        <v>0</v>
      </c>
      <c r="D28" s="373">
        <f>(('Memória-vig_limp_consul_OUTROS'!M57)/12)*6</f>
        <v>391912.49975244724</v>
      </c>
      <c r="E28" s="373">
        <f>'Memória-vig_limp_consul_OUTROS'!M57</f>
        <v>783824.99950489448</v>
      </c>
      <c r="F28" s="373">
        <f t="shared" si="9"/>
        <v>783824.99950489448</v>
      </c>
      <c r="G28" s="373">
        <f t="shared" si="9"/>
        <v>783824.99950489448</v>
      </c>
      <c r="H28" s="373">
        <f>G28</f>
        <v>783824.99950489448</v>
      </c>
      <c r="I28" s="373">
        <f t="shared" si="14"/>
        <v>783824.99950489448</v>
      </c>
      <c r="J28" s="373">
        <f t="shared" si="12"/>
        <v>783824.99950489448</v>
      </c>
      <c r="K28" s="373">
        <f t="shared" si="12"/>
        <v>783824.99950489448</v>
      </c>
      <c r="L28" s="373">
        <f t="shared" si="12"/>
        <v>783824.99950489448</v>
      </c>
      <c r="M28" s="373">
        <f>'Memória-vig_limp_consul_OUTROS'!M58</f>
        <v>993562.66473908466</v>
      </c>
      <c r="N28" s="373">
        <f t="shared" si="5"/>
        <v>993562.66473908466</v>
      </c>
      <c r="O28" s="373">
        <f t="shared" si="5"/>
        <v>993562.66473908466</v>
      </c>
      <c r="P28" s="373">
        <f t="shared" si="5"/>
        <v>993562.66473908466</v>
      </c>
      <c r="Q28" s="373">
        <f t="shared" si="5"/>
        <v>993562.66473908466</v>
      </c>
      <c r="R28" s="373">
        <f>'Memória-vig_limp_consul_OUTROS'!M59</f>
        <v>1135878.4236725345</v>
      </c>
      <c r="S28" s="373">
        <f t="shared" ref="S28:AA28" si="23">R28</f>
        <v>1135878.4236725345</v>
      </c>
      <c r="T28" s="373">
        <f t="shared" si="23"/>
        <v>1135878.4236725345</v>
      </c>
      <c r="U28" s="373">
        <f t="shared" si="23"/>
        <v>1135878.4236725345</v>
      </c>
      <c r="V28" s="373">
        <f t="shared" si="23"/>
        <v>1135878.4236725345</v>
      </c>
      <c r="W28" s="373">
        <f t="shared" si="23"/>
        <v>1135878.4236725345</v>
      </c>
      <c r="X28" s="373">
        <f t="shared" si="23"/>
        <v>1135878.4236725345</v>
      </c>
      <c r="Y28" s="373">
        <f t="shared" si="23"/>
        <v>1135878.4236725345</v>
      </c>
      <c r="Z28" s="373">
        <f t="shared" si="23"/>
        <v>1135878.4236725345</v>
      </c>
      <c r="AA28" s="373">
        <f t="shared" si="23"/>
        <v>1135878.4236725345</v>
      </c>
      <c r="AB28" s="382">
        <f t="shared" si="2"/>
        <v>22989110.056212373</v>
      </c>
    </row>
    <row r="29" spans="2:28" ht="15.5" x14ac:dyDescent="0.35">
      <c r="B29" s="372" t="s">
        <v>370</v>
      </c>
      <c r="C29" s="370">
        <f>'Memória-vig_limp_consul_OUTROS'!E64*0</f>
        <v>0</v>
      </c>
      <c r="D29" s="370">
        <f>(('Memória-vig_limp_consul_OUTROS'!E64)/12)*6</f>
        <v>1766520</v>
      </c>
      <c r="E29" s="370">
        <f>'Memória-vig_limp_consul_OUTROS'!E64</f>
        <v>3533040</v>
      </c>
      <c r="F29" s="370">
        <f t="shared" si="9"/>
        <v>3533040</v>
      </c>
      <c r="G29" s="370">
        <f t="shared" si="9"/>
        <v>3533040</v>
      </c>
      <c r="H29" s="370">
        <f>'Memória-vig_limp_consul_OUTROS'!E65</f>
        <v>3533040</v>
      </c>
      <c r="I29" s="370">
        <f t="shared" si="14"/>
        <v>3533040</v>
      </c>
      <c r="J29" s="370">
        <f t="shared" si="12"/>
        <v>3533040</v>
      </c>
      <c r="K29" s="370">
        <f t="shared" si="12"/>
        <v>3533040</v>
      </c>
      <c r="L29" s="370">
        <f t="shared" si="12"/>
        <v>3533040</v>
      </c>
      <c r="M29" s="370">
        <f>'Memória-vig_limp_consul_OUTROS'!E66</f>
        <v>3533040</v>
      </c>
      <c r="N29" s="370">
        <f t="shared" si="5"/>
        <v>3533040</v>
      </c>
      <c r="O29" s="370">
        <f t="shared" si="5"/>
        <v>3533040</v>
      </c>
      <c r="P29" s="370">
        <f t="shared" si="5"/>
        <v>3533040</v>
      </c>
      <c r="Q29" s="370">
        <f t="shared" si="5"/>
        <v>3533040</v>
      </c>
      <c r="R29" s="370">
        <f>Q29</f>
        <v>3533040</v>
      </c>
      <c r="S29" s="370">
        <f t="shared" ref="S29:AA29" si="24">R29</f>
        <v>3533040</v>
      </c>
      <c r="T29" s="370">
        <f t="shared" si="24"/>
        <v>3533040</v>
      </c>
      <c r="U29" s="370">
        <f t="shared" si="24"/>
        <v>3533040</v>
      </c>
      <c r="V29" s="370">
        <f t="shared" si="24"/>
        <v>3533040</v>
      </c>
      <c r="W29" s="370">
        <f t="shared" si="24"/>
        <v>3533040</v>
      </c>
      <c r="X29" s="370">
        <f t="shared" si="24"/>
        <v>3533040</v>
      </c>
      <c r="Y29" s="370">
        <f t="shared" si="24"/>
        <v>3533040</v>
      </c>
      <c r="Z29" s="370">
        <f t="shared" si="24"/>
        <v>3533040</v>
      </c>
      <c r="AA29" s="370">
        <f t="shared" si="24"/>
        <v>3533040</v>
      </c>
      <c r="AB29" s="379">
        <f t="shared" si="2"/>
        <v>83026440</v>
      </c>
    </row>
    <row r="30" spans="2:28" ht="15.5" x14ac:dyDescent="0.35">
      <c r="B30" s="372" t="s">
        <v>371</v>
      </c>
      <c r="C30" s="381">
        <f>'Memória-vig_limp_consul_OUTROS'!G71*0</f>
        <v>0</v>
      </c>
      <c r="D30" s="373">
        <f>(('Memória-vig_limp_consul_OUTROS'!G71)/12)*6</f>
        <v>22214.913793103449</v>
      </c>
      <c r="E30" s="373">
        <f>'Memória-vig_limp_consul_OUTROS'!G71</f>
        <v>44429.827586206899</v>
      </c>
      <c r="F30" s="373">
        <f t="shared" si="9"/>
        <v>44429.827586206899</v>
      </c>
      <c r="G30" s="373">
        <f t="shared" si="9"/>
        <v>44429.827586206899</v>
      </c>
      <c r="H30" s="373">
        <f>G30</f>
        <v>44429.827586206899</v>
      </c>
      <c r="I30" s="373">
        <f t="shared" si="14"/>
        <v>44429.827586206899</v>
      </c>
      <c r="J30" s="373">
        <f t="shared" si="12"/>
        <v>44429.827586206899</v>
      </c>
      <c r="K30" s="373">
        <f t="shared" si="12"/>
        <v>44429.827586206899</v>
      </c>
      <c r="L30" s="373">
        <f t="shared" si="12"/>
        <v>44429.827586206899</v>
      </c>
      <c r="M30" s="373">
        <f>L30</f>
        <v>44429.827586206899</v>
      </c>
      <c r="N30" s="373">
        <f t="shared" si="5"/>
        <v>44429.827586206899</v>
      </c>
      <c r="O30" s="373">
        <f t="shared" si="5"/>
        <v>44429.827586206899</v>
      </c>
      <c r="P30" s="373">
        <f t="shared" si="5"/>
        <v>44429.827586206899</v>
      </c>
      <c r="Q30" s="373">
        <f t="shared" si="5"/>
        <v>44429.827586206899</v>
      </c>
      <c r="R30" s="373">
        <f>Q30</f>
        <v>44429.827586206899</v>
      </c>
      <c r="S30" s="373">
        <f t="shared" ref="S30:AA30" si="25">R30</f>
        <v>44429.827586206899</v>
      </c>
      <c r="T30" s="373">
        <f t="shared" si="25"/>
        <v>44429.827586206899</v>
      </c>
      <c r="U30" s="373">
        <f t="shared" si="25"/>
        <v>44429.827586206899</v>
      </c>
      <c r="V30" s="373">
        <f t="shared" si="25"/>
        <v>44429.827586206899</v>
      </c>
      <c r="W30" s="373">
        <f t="shared" si="25"/>
        <v>44429.827586206899</v>
      </c>
      <c r="X30" s="373">
        <f t="shared" si="25"/>
        <v>44429.827586206899</v>
      </c>
      <c r="Y30" s="373">
        <f t="shared" si="25"/>
        <v>44429.827586206899</v>
      </c>
      <c r="Z30" s="373">
        <f t="shared" si="25"/>
        <v>44429.827586206899</v>
      </c>
      <c r="AA30" s="373">
        <f t="shared" si="25"/>
        <v>44429.827586206899</v>
      </c>
      <c r="AB30" s="382">
        <f t="shared" si="2"/>
        <v>1044100.9482758616</v>
      </c>
    </row>
    <row r="31" spans="2:28" ht="15.5" x14ac:dyDescent="0.35">
      <c r="B31" s="372" t="s">
        <v>372</v>
      </c>
      <c r="C31" s="370">
        <f>'Memória-vig_limp_consul_OUTROS'!D78*0</f>
        <v>0</v>
      </c>
      <c r="D31" s="370">
        <f>('Memória-vig_limp_consul_OUTROS'!E78/12)*6</f>
        <v>41699.436890136567</v>
      </c>
      <c r="E31" s="370">
        <f>'Memória-vig_limp_consul_OUTROS'!$E$78</f>
        <v>83398.873780273134</v>
      </c>
      <c r="F31" s="370">
        <f>'Memória-vig_limp_consul_OUTROS'!$E$78</f>
        <v>83398.873780273134</v>
      </c>
      <c r="G31" s="370">
        <f>'Memória-vig_limp_consul_OUTROS'!$E$78</f>
        <v>83398.873780273134</v>
      </c>
      <c r="H31" s="370">
        <f>'Memória-vig_limp_consul_OUTROS'!$E$78</f>
        <v>83398.873780273134</v>
      </c>
      <c r="I31" s="370">
        <f>'Memória-vig_limp_consul_OUTROS'!$E$78</f>
        <v>83398.873780273134</v>
      </c>
      <c r="J31" s="370">
        <f>'Memória-vig_limp_consul_OUTROS'!$E$78</f>
        <v>83398.873780273134</v>
      </c>
      <c r="K31" s="370">
        <f>'Memória-vig_limp_consul_OUTROS'!$E$78</f>
        <v>83398.873780273134</v>
      </c>
      <c r="L31" s="370">
        <f>'Memória-vig_limp_consul_OUTROS'!$E$78</f>
        <v>83398.873780273134</v>
      </c>
      <c r="M31" s="370">
        <f>'Memória-vig_limp_consul_OUTROS'!$E$79</f>
        <v>113184.85854530908</v>
      </c>
      <c r="N31" s="370">
        <f t="shared" si="5"/>
        <v>113184.85854530908</v>
      </c>
      <c r="O31" s="370">
        <f t="shared" si="5"/>
        <v>113184.85854530908</v>
      </c>
      <c r="P31" s="370">
        <f t="shared" si="5"/>
        <v>113184.85854530908</v>
      </c>
      <c r="Q31" s="370">
        <f t="shared" si="5"/>
        <v>113184.85854530908</v>
      </c>
      <c r="R31" s="370">
        <f>'Memória-vig_limp_consul_OUTROS'!$E$80</f>
        <v>129844.93754420677</v>
      </c>
      <c r="S31" s="370">
        <f t="shared" ref="S31:AA31" si="26">R31</f>
        <v>129844.93754420677</v>
      </c>
      <c r="T31" s="370">
        <f t="shared" si="26"/>
        <v>129844.93754420677</v>
      </c>
      <c r="U31" s="370">
        <f t="shared" si="26"/>
        <v>129844.93754420677</v>
      </c>
      <c r="V31" s="370">
        <f t="shared" si="26"/>
        <v>129844.93754420677</v>
      </c>
      <c r="W31" s="370">
        <f t="shared" si="26"/>
        <v>129844.93754420677</v>
      </c>
      <c r="X31" s="370">
        <f t="shared" si="26"/>
        <v>129844.93754420677</v>
      </c>
      <c r="Y31" s="370">
        <f t="shared" si="26"/>
        <v>129844.93754420677</v>
      </c>
      <c r="Z31" s="370">
        <f t="shared" si="26"/>
        <v>129844.93754420677</v>
      </c>
      <c r="AA31" s="370">
        <f t="shared" si="26"/>
        <v>129844.93754420677</v>
      </c>
      <c r="AB31" s="379">
        <f t="shared" si="2"/>
        <v>2573264.0953009347</v>
      </c>
    </row>
    <row r="32" spans="2:28" ht="15.5" x14ac:dyDescent="0.35">
      <c r="B32" s="372" t="s">
        <v>373</v>
      </c>
      <c r="C32" s="370">
        <f>'Memória-vig_limp_consul_OUTROS'!E49*0</f>
        <v>0</v>
      </c>
      <c r="D32" s="370">
        <f>('Memória-vig_limp_consul_OUTROS'!E49/12)*6</f>
        <v>103177.63</v>
      </c>
      <c r="E32" s="370">
        <f>'Memória-vig_limp_consul_OUTROS'!E49</f>
        <v>206355.26</v>
      </c>
      <c r="F32" s="370">
        <f>E32</f>
        <v>206355.26</v>
      </c>
      <c r="G32" s="370">
        <f>F32</f>
        <v>206355.26</v>
      </c>
      <c r="H32" s="370">
        <f>'Memória-vig_limp_consul_OUTROS'!E50</f>
        <v>206355.26</v>
      </c>
      <c r="I32" s="370">
        <f t="shared" ref="I32:L33" si="27">H32</f>
        <v>206355.26</v>
      </c>
      <c r="J32" s="370">
        <f t="shared" si="27"/>
        <v>206355.26</v>
      </c>
      <c r="K32" s="370">
        <f t="shared" si="27"/>
        <v>206355.26</v>
      </c>
      <c r="L32" s="370">
        <f t="shared" si="27"/>
        <v>206355.26</v>
      </c>
      <c r="M32" s="370">
        <f>'Memória-vig_limp_consul_OUTROS'!E51</f>
        <v>206355.26</v>
      </c>
      <c r="N32" s="370">
        <f t="shared" si="5"/>
        <v>206355.26</v>
      </c>
      <c r="O32" s="370">
        <f t="shared" si="5"/>
        <v>206355.26</v>
      </c>
      <c r="P32" s="370">
        <f t="shared" si="5"/>
        <v>206355.26</v>
      </c>
      <c r="Q32" s="370">
        <f t="shared" si="5"/>
        <v>206355.26</v>
      </c>
      <c r="R32" s="370">
        <f>Q32</f>
        <v>206355.26</v>
      </c>
      <c r="S32" s="370">
        <f t="shared" ref="S32:AA32" si="28">R32</f>
        <v>206355.26</v>
      </c>
      <c r="T32" s="370">
        <f t="shared" si="28"/>
        <v>206355.26</v>
      </c>
      <c r="U32" s="370">
        <f t="shared" si="28"/>
        <v>206355.26</v>
      </c>
      <c r="V32" s="370">
        <f t="shared" si="28"/>
        <v>206355.26</v>
      </c>
      <c r="W32" s="370">
        <f t="shared" si="28"/>
        <v>206355.26</v>
      </c>
      <c r="X32" s="370">
        <f t="shared" si="28"/>
        <v>206355.26</v>
      </c>
      <c r="Y32" s="370">
        <f t="shared" si="28"/>
        <v>206355.26</v>
      </c>
      <c r="Z32" s="370">
        <f t="shared" si="28"/>
        <v>206355.26</v>
      </c>
      <c r="AA32" s="370">
        <f t="shared" si="28"/>
        <v>206355.26</v>
      </c>
      <c r="AB32" s="379">
        <f t="shared" si="2"/>
        <v>4849348.6099999975</v>
      </c>
    </row>
    <row r="33" spans="2:28" ht="15.5" x14ac:dyDescent="0.35">
      <c r="B33" s="372" t="s">
        <v>374</v>
      </c>
      <c r="C33" s="370">
        <f>('Memória-vig_limp_consul_OUTROS'!E85)</f>
        <v>98000</v>
      </c>
      <c r="D33" s="370">
        <f>('Memória-vig_limp_consul_OUTROS'!E85/12)*12</f>
        <v>98000</v>
      </c>
      <c r="E33" s="370">
        <f>'Memória-vig_limp_consul_OUTROS'!E85</f>
        <v>98000</v>
      </c>
      <c r="F33" s="370">
        <f>E33</f>
        <v>98000</v>
      </c>
      <c r="G33" s="370">
        <f>F33</f>
        <v>98000</v>
      </c>
      <c r="H33" s="370">
        <f>'Memória-vig_limp_consul_OUTROS'!E86</f>
        <v>98000</v>
      </c>
      <c r="I33" s="370">
        <f t="shared" si="27"/>
        <v>98000</v>
      </c>
      <c r="J33" s="370">
        <f t="shared" si="27"/>
        <v>98000</v>
      </c>
      <c r="K33" s="370">
        <f t="shared" si="27"/>
        <v>98000</v>
      </c>
      <c r="L33" s="370">
        <f t="shared" si="27"/>
        <v>98000</v>
      </c>
      <c r="M33" s="370">
        <f>'Memória-vig_limp_consul_OUTROS'!E87</f>
        <v>98000</v>
      </c>
      <c r="N33" s="370">
        <f t="shared" si="5"/>
        <v>98000</v>
      </c>
      <c r="O33" s="370">
        <f t="shared" si="5"/>
        <v>98000</v>
      </c>
      <c r="P33" s="370">
        <f t="shared" si="5"/>
        <v>98000</v>
      </c>
      <c r="Q33" s="370">
        <f t="shared" si="5"/>
        <v>98000</v>
      </c>
      <c r="R33" s="370">
        <f>Q33</f>
        <v>98000</v>
      </c>
      <c r="S33" s="370">
        <f t="shared" ref="S33:AA33" si="29">R33</f>
        <v>98000</v>
      </c>
      <c r="T33" s="370">
        <f t="shared" si="29"/>
        <v>98000</v>
      </c>
      <c r="U33" s="370">
        <f t="shared" si="29"/>
        <v>98000</v>
      </c>
      <c r="V33" s="370">
        <f t="shared" si="29"/>
        <v>98000</v>
      </c>
      <c r="W33" s="370">
        <f t="shared" si="29"/>
        <v>98000</v>
      </c>
      <c r="X33" s="370">
        <f t="shared" si="29"/>
        <v>98000</v>
      </c>
      <c r="Y33" s="370">
        <f t="shared" si="29"/>
        <v>98000</v>
      </c>
      <c r="Z33" s="370">
        <f t="shared" si="29"/>
        <v>98000</v>
      </c>
      <c r="AA33" s="370">
        <f t="shared" si="29"/>
        <v>98000</v>
      </c>
      <c r="AB33" s="379">
        <f t="shared" si="2"/>
        <v>2450000</v>
      </c>
    </row>
  </sheetData>
  <mergeCells count="7">
    <mergeCell ref="B6:D6"/>
    <mergeCell ref="B9:D9"/>
    <mergeCell ref="E3:L3"/>
    <mergeCell ref="B4:D4"/>
    <mergeCell ref="E4:L4"/>
    <mergeCell ref="B5:D5"/>
    <mergeCell ref="E5:L5"/>
  </mergeCells>
  <conditionalFormatting sqref="AD15:AD38 AG15:AG38 AJ15:AJ38">
    <cfRule type="cellIs" dxfId="0" priority="2" operator="notEqual">
      <formula>0</formula>
    </cfRule>
  </conditionalFormatting>
  <pageMargins left="0.51180555555555496" right="0.51180555555555496" top="0.78749999999999998" bottom="0.78749999999999998" header="0.51180555555555496" footer="0.51180555555555496"/>
  <pageSetup paperSize="9" firstPageNumber="0" orientation="portrait" horizontalDpi="300" verticalDpi="300"/>
  <drawing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B2:M73"/>
  <sheetViews>
    <sheetView topLeftCell="A31" zoomScale="80" zoomScaleNormal="80" workbookViewId="0">
      <selection activeCell="C32" sqref="C32"/>
    </sheetView>
  </sheetViews>
  <sheetFormatPr defaultRowHeight="12.5" x14ac:dyDescent="0.25"/>
  <cols>
    <col min="1" max="1" width="7.54296875" customWidth="1"/>
    <col min="2" max="2" width="107.54296875" customWidth="1"/>
    <col min="3" max="3" width="15.7265625" customWidth="1"/>
    <col min="4" max="4" width="22" customWidth="1"/>
    <col min="5" max="5" width="16.7265625" customWidth="1"/>
    <col min="6" max="6" width="7.54296875" customWidth="1"/>
    <col min="7" max="7" width="11.453125" customWidth="1"/>
    <col min="8" max="8" width="24.1796875" customWidth="1"/>
    <col min="9" max="9" width="11.7265625" customWidth="1"/>
    <col min="10" max="10" width="6.81640625" customWidth="1"/>
    <col min="11" max="11" width="8.7265625" customWidth="1"/>
    <col min="12" max="12" width="12.26953125" customWidth="1"/>
    <col min="13" max="13" width="18.26953125" customWidth="1"/>
    <col min="14" max="26" width="8.7265625" customWidth="1"/>
    <col min="27" max="1025" width="14.453125" customWidth="1"/>
  </cols>
  <sheetData>
    <row r="2" spans="2:13" ht="12.75" customHeight="1" x14ac:dyDescent="0.35">
      <c r="B2" s="949" t="s">
        <v>70</v>
      </c>
      <c r="C2" s="949"/>
      <c r="D2" s="7"/>
      <c r="E2" s="7"/>
      <c r="F2" s="7"/>
      <c r="G2" s="7"/>
      <c r="H2" s="7"/>
      <c r="I2" s="7"/>
      <c r="J2" s="7"/>
      <c r="K2" s="7"/>
      <c r="L2" s="7"/>
      <c r="M2" s="7"/>
    </row>
    <row r="3" spans="2:13" ht="12.75" customHeight="1" x14ac:dyDescent="0.35">
      <c r="B3" s="950" t="s">
        <v>71</v>
      </c>
      <c r="C3" s="950"/>
      <c r="D3" s="7"/>
      <c r="E3" s="7"/>
      <c r="F3" s="7"/>
      <c r="G3" s="7"/>
      <c r="H3" s="7"/>
      <c r="I3" s="7"/>
      <c r="J3" s="7"/>
      <c r="K3" s="7"/>
      <c r="L3" s="7"/>
      <c r="M3" s="7"/>
    </row>
    <row r="4" spans="2:13" ht="12.75" customHeight="1" x14ac:dyDescent="0.35">
      <c r="B4" s="951"/>
      <c r="C4" s="951"/>
      <c r="D4" s="7"/>
      <c r="E4" s="7"/>
      <c r="F4" s="7"/>
      <c r="G4" s="7"/>
      <c r="H4" s="7"/>
      <c r="I4" s="7"/>
      <c r="J4" s="7"/>
      <c r="K4" s="7"/>
      <c r="L4" s="7"/>
      <c r="M4" s="7"/>
    </row>
    <row r="5" spans="2:13" ht="12.75" customHeight="1" x14ac:dyDescent="0.25">
      <c r="B5" s="7"/>
      <c r="C5" s="7"/>
      <c r="D5" s="7"/>
      <c r="E5" s="7"/>
      <c r="F5" s="7"/>
      <c r="G5" s="7"/>
      <c r="H5" s="7"/>
      <c r="I5" s="7"/>
      <c r="J5" s="7"/>
      <c r="K5" s="7"/>
      <c r="L5" s="7"/>
      <c r="M5" s="7"/>
    </row>
    <row r="6" spans="2:13" ht="12.75" customHeight="1" x14ac:dyDescent="0.25">
      <c r="B6" s="7"/>
      <c r="C6" s="7"/>
      <c r="D6" s="7"/>
      <c r="E6" s="7"/>
      <c r="F6" s="7"/>
      <c r="G6" s="7"/>
      <c r="H6" s="7"/>
      <c r="I6" s="7"/>
      <c r="J6" s="7"/>
      <c r="K6" s="7"/>
      <c r="L6" s="7"/>
      <c r="M6" s="7"/>
    </row>
    <row r="7" spans="2:13" ht="12.65" customHeight="1" x14ac:dyDescent="0.35">
      <c r="B7" s="969" t="s">
        <v>375</v>
      </c>
      <c r="C7" s="969"/>
      <c r="D7" s="7"/>
      <c r="E7" s="7"/>
      <c r="F7" s="7"/>
      <c r="G7" s="7"/>
      <c r="H7" s="7"/>
      <c r="I7" s="7"/>
      <c r="J7" s="7"/>
      <c r="K7" s="7"/>
      <c r="L7" s="7"/>
      <c r="M7" s="7"/>
    </row>
    <row r="8" spans="2:13" ht="12.75" customHeight="1" x14ac:dyDescent="0.25">
      <c r="B8" s="7"/>
      <c r="C8" s="7"/>
      <c r="D8" s="7"/>
      <c r="E8" s="7"/>
      <c r="F8" s="7"/>
      <c r="G8" s="7"/>
      <c r="H8" s="7"/>
      <c r="I8" s="7"/>
      <c r="J8" s="7"/>
      <c r="K8" s="7"/>
      <c r="L8" s="7"/>
      <c r="M8" s="7"/>
    </row>
    <row r="9" spans="2:13" ht="12.75" customHeight="1" x14ac:dyDescent="0.25">
      <c r="B9" s="7"/>
      <c r="C9" s="7"/>
      <c r="D9" s="7"/>
      <c r="E9" s="7"/>
      <c r="F9" s="7"/>
      <c r="G9" s="7"/>
      <c r="H9" s="7"/>
      <c r="I9" s="7"/>
      <c r="J9" s="7"/>
      <c r="K9" s="7"/>
      <c r="L9" s="7"/>
      <c r="M9" s="7"/>
    </row>
    <row r="10" spans="2:13" ht="29.5" customHeight="1" x14ac:dyDescent="0.35">
      <c r="B10" s="383" t="s">
        <v>376</v>
      </c>
      <c r="C10" s="7"/>
      <c r="D10" s="7"/>
      <c r="E10" s="7"/>
      <c r="F10" s="7"/>
      <c r="G10" s="7"/>
      <c r="H10" s="7"/>
      <c r="I10" s="7"/>
      <c r="J10" s="7"/>
      <c r="K10" s="7"/>
      <c r="L10" s="7"/>
      <c r="M10" s="7"/>
    </row>
    <row r="11" spans="2:13" ht="12.75" customHeight="1" x14ac:dyDescent="0.35">
      <c r="B11" s="384" t="s">
        <v>377</v>
      </c>
      <c r="C11" s="405">
        <v>0.45</v>
      </c>
      <c r="D11" s="7"/>
      <c r="E11" s="7"/>
      <c r="F11" s="7"/>
      <c r="G11" s="7"/>
      <c r="H11" s="7"/>
      <c r="I11" s="7"/>
      <c r="J11" s="7"/>
      <c r="K11" s="7"/>
      <c r="L11" s="7"/>
      <c r="M11" s="7"/>
    </row>
    <row r="12" spans="2:13" ht="12.75" customHeight="1" x14ac:dyDescent="0.35">
      <c r="B12" s="386" t="s">
        <v>378</v>
      </c>
      <c r="C12" s="387">
        <v>0.5</v>
      </c>
      <c r="D12" s="7"/>
      <c r="E12" s="7"/>
      <c r="F12" s="7"/>
      <c r="G12" s="7"/>
      <c r="H12" s="7"/>
      <c r="I12" s="7"/>
      <c r="J12" s="7"/>
      <c r="K12" s="7"/>
      <c r="L12" s="7"/>
      <c r="M12" s="7"/>
    </row>
    <row r="13" spans="2:13" ht="12.75" customHeight="1" x14ac:dyDescent="0.35">
      <c r="B13" s="384" t="s">
        <v>379</v>
      </c>
      <c r="C13" s="388">
        <v>18.5</v>
      </c>
      <c r="D13" s="7"/>
      <c r="E13" s="7"/>
      <c r="F13" s="7"/>
      <c r="G13" s="987"/>
      <c r="H13" s="987"/>
      <c r="I13" s="987"/>
      <c r="J13" s="987"/>
      <c r="K13" s="987"/>
      <c r="L13" s="987"/>
      <c r="M13" s="987"/>
    </row>
    <row r="14" spans="2:13" ht="12.75" customHeight="1" x14ac:dyDescent="0.35">
      <c r="B14" s="386" t="s">
        <v>380</v>
      </c>
      <c r="C14" s="389">
        <v>2.5</v>
      </c>
      <c r="D14" s="7"/>
      <c r="E14" s="7"/>
      <c r="F14" s="7"/>
      <c r="G14" s="987"/>
      <c r="H14" s="987"/>
      <c r="I14" s="987"/>
      <c r="J14" s="987"/>
      <c r="K14" s="987"/>
      <c r="L14" s="987"/>
      <c r="M14" s="987"/>
    </row>
    <row r="15" spans="2:13" ht="12.75" customHeight="1" x14ac:dyDescent="0.35">
      <c r="B15" s="390" t="s">
        <v>381</v>
      </c>
      <c r="C15" s="391">
        <v>2</v>
      </c>
      <c r="D15" s="7"/>
      <c r="E15" s="7"/>
      <c r="F15" s="7"/>
      <c r="G15" s="1008"/>
      <c r="H15" s="1008"/>
      <c r="I15" s="1008"/>
      <c r="J15" s="1008"/>
      <c r="K15" s="1008"/>
      <c r="L15" s="1008"/>
      <c r="M15" s="1008"/>
    </row>
    <row r="16" spans="2:13" ht="12.75" customHeight="1" x14ac:dyDescent="0.35">
      <c r="B16" s="390" t="s">
        <v>382</v>
      </c>
      <c r="C16" s="392">
        <v>0.1</v>
      </c>
      <c r="D16" s="7"/>
      <c r="E16" s="7"/>
      <c r="F16" s="7"/>
      <c r="G16" s="7"/>
      <c r="H16" s="7"/>
      <c r="I16" s="7"/>
      <c r="J16" s="7"/>
      <c r="K16" s="7"/>
      <c r="L16" s="7"/>
      <c r="M16" s="7"/>
    </row>
    <row r="17" spans="2:3" ht="12.75" customHeight="1" x14ac:dyDescent="0.35">
      <c r="B17" s="390" t="s">
        <v>383</v>
      </c>
      <c r="C17" s="393">
        <v>0.2</v>
      </c>
    </row>
    <row r="18" spans="2:3" ht="12.75" customHeight="1" x14ac:dyDescent="0.35">
      <c r="B18" s="384" t="s">
        <v>384</v>
      </c>
      <c r="C18" s="385">
        <v>0.2</v>
      </c>
    </row>
    <row r="19" spans="2:3" ht="12.75" customHeight="1" x14ac:dyDescent="0.35">
      <c r="B19" s="386" t="s">
        <v>385</v>
      </c>
      <c r="C19" s="394">
        <v>500</v>
      </c>
    </row>
    <row r="20" spans="2:3" ht="12.75" customHeight="1" x14ac:dyDescent="0.35">
      <c r="B20" s="390" t="s">
        <v>386</v>
      </c>
      <c r="C20" s="395">
        <v>1</v>
      </c>
    </row>
    <row r="21" spans="2:3" ht="12.75" customHeight="1" x14ac:dyDescent="0.35">
      <c r="B21" s="390" t="s">
        <v>387</v>
      </c>
      <c r="C21" s="393">
        <v>0.1</v>
      </c>
    </row>
    <row r="22" spans="2:3" ht="12.75" customHeight="1" x14ac:dyDescent="0.35">
      <c r="B22" s="390" t="s">
        <v>388</v>
      </c>
      <c r="C22" s="393">
        <v>0.1</v>
      </c>
    </row>
    <row r="23" spans="2:3" ht="12.75" customHeight="1" x14ac:dyDescent="0.35">
      <c r="B23" s="384" t="s">
        <v>389</v>
      </c>
      <c r="C23" s="385">
        <v>0.1</v>
      </c>
    </row>
    <row r="24" spans="2:3" ht="12.75" customHeight="1" x14ac:dyDescent="0.35">
      <c r="B24" s="396" t="s">
        <v>390</v>
      </c>
      <c r="C24" s="394">
        <v>19</v>
      </c>
    </row>
    <row r="25" spans="2:3" ht="12.75" customHeight="1" x14ac:dyDescent="0.35">
      <c r="B25" s="397" t="s">
        <v>391</v>
      </c>
      <c r="C25" s="398">
        <v>13</v>
      </c>
    </row>
    <row r="26" spans="2:3" ht="12.75" customHeight="1" x14ac:dyDescent="0.35">
      <c r="B26" s="399" t="s">
        <v>392</v>
      </c>
      <c r="C26" s="400">
        <v>2.74</v>
      </c>
    </row>
    <row r="27" spans="2:3" ht="12.75" customHeight="1" x14ac:dyDescent="0.35">
      <c r="B27" s="386" t="s">
        <v>393</v>
      </c>
      <c r="C27" s="401">
        <v>3.0000000000000001E-3</v>
      </c>
    </row>
    <row r="28" spans="2:3" ht="12.75" customHeight="1" x14ac:dyDescent="0.35">
      <c r="B28" s="402" t="s">
        <v>394</v>
      </c>
      <c r="C28" s="403">
        <v>0</v>
      </c>
    </row>
    <row r="29" spans="2:3" ht="12.75" customHeight="1" x14ac:dyDescent="0.35">
      <c r="B29" s="390" t="s">
        <v>395</v>
      </c>
      <c r="C29" s="393">
        <v>0.1</v>
      </c>
    </row>
    <row r="30" spans="2:3" ht="12.75" customHeight="1" x14ac:dyDescent="0.35">
      <c r="B30" s="404" t="s">
        <v>396</v>
      </c>
      <c r="C30" s="405">
        <v>0.35</v>
      </c>
    </row>
    <row r="31" spans="2:3" ht="12.75" customHeight="1" x14ac:dyDescent="0.35">
      <c r="B31" s="406" t="s">
        <v>397</v>
      </c>
      <c r="C31" s="407">
        <v>0.2</v>
      </c>
    </row>
    <row r="32" spans="2:3" ht="12.75" customHeight="1" x14ac:dyDescent="0.35">
      <c r="B32" s="408" t="s">
        <v>398</v>
      </c>
      <c r="C32" s="393">
        <v>0.05</v>
      </c>
    </row>
    <row r="33" spans="2:5" ht="12.75" customHeight="1" x14ac:dyDescent="0.35">
      <c r="B33" s="408" t="s">
        <v>399</v>
      </c>
      <c r="C33" s="393">
        <v>0.2</v>
      </c>
      <c r="D33" s="7"/>
      <c r="E33" s="7"/>
    </row>
    <row r="34" spans="2:5" ht="12.75" customHeight="1" x14ac:dyDescent="0.35">
      <c r="B34" s="408" t="s">
        <v>400</v>
      </c>
      <c r="C34" s="392">
        <v>0.05</v>
      </c>
      <c r="D34" s="7"/>
      <c r="E34" s="7"/>
    </row>
    <row r="35" spans="2:5" ht="12.75" customHeight="1" x14ac:dyDescent="0.25">
      <c r="B35" s="7"/>
      <c r="C35" s="7"/>
      <c r="D35" s="7"/>
      <c r="E35" s="7"/>
    </row>
    <row r="36" spans="2:5" ht="12.75" customHeight="1" x14ac:dyDescent="0.3">
      <c r="B36" s="1014"/>
      <c r="C36" s="1015" t="s">
        <v>401</v>
      </c>
      <c r="D36" s="1015"/>
      <c r="E36" s="410"/>
    </row>
    <row r="37" spans="2:5" ht="12.75" customHeight="1" x14ac:dyDescent="0.3">
      <c r="B37" s="1014"/>
      <c r="C37" s="1016" t="s">
        <v>402</v>
      </c>
      <c r="D37" s="1016"/>
      <c r="E37" s="412"/>
    </row>
    <row r="38" spans="2:5" ht="12.75" customHeight="1" x14ac:dyDescent="0.3">
      <c r="B38" s="1014"/>
      <c r="C38" s="1017">
        <f>'Anexo II - Carga-demanda'!H15/1000</f>
        <v>66968.155831542463</v>
      </c>
      <c r="D38" s="1017"/>
      <c r="E38" s="412"/>
    </row>
    <row r="39" spans="2:5" ht="12.75" customHeight="1" x14ac:dyDescent="0.3">
      <c r="B39" s="1014"/>
      <c r="C39" s="409" t="s">
        <v>403</v>
      </c>
      <c r="D39" s="409" t="s">
        <v>404</v>
      </c>
      <c r="E39" s="409" t="s">
        <v>405</v>
      </c>
    </row>
    <row r="40" spans="2:5" ht="14" x14ac:dyDescent="0.3">
      <c r="B40" s="413" t="s">
        <v>406</v>
      </c>
      <c r="C40" s="756">
        <v>0.5</v>
      </c>
      <c r="D40" s="415">
        <v>1</v>
      </c>
      <c r="E40" s="392">
        <v>0.75</v>
      </c>
    </row>
    <row r="41" spans="2:5" ht="14" x14ac:dyDescent="0.3">
      <c r="B41" s="301" t="s">
        <v>407</v>
      </c>
      <c r="C41" s="416">
        <f>C38*C40</f>
        <v>33484.077915771231</v>
      </c>
      <c r="D41" s="417">
        <f>$C$38*D40</f>
        <v>66968.155831542463</v>
      </c>
      <c r="E41" s="417">
        <f>C38*E40</f>
        <v>50226.116873656851</v>
      </c>
    </row>
    <row r="42" spans="2:5" ht="14" x14ac:dyDescent="0.3">
      <c r="B42" s="301" t="s">
        <v>408</v>
      </c>
      <c r="C42" s="321">
        <v>0.5</v>
      </c>
      <c r="D42" s="418">
        <v>18.5</v>
      </c>
      <c r="E42" s="418">
        <v>18.5</v>
      </c>
    </row>
    <row r="43" spans="2:5" ht="14" x14ac:dyDescent="0.3">
      <c r="B43" s="301" t="s">
        <v>409</v>
      </c>
      <c r="C43" s="110">
        <f>C41/C42</f>
        <v>66968.155831542463</v>
      </c>
      <c r="D43" s="420">
        <f>D41/D42</f>
        <v>3619.9003152185114</v>
      </c>
      <c r="E43" s="420">
        <f>E41/E42</f>
        <v>2714.9252364138838</v>
      </c>
    </row>
    <row r="44" spans="2:5" ht="14" x14ac:dyDescent="0.3">
      <c r="B44" s="421" t="s">
        <v>410</v>
      </c>
      <c r="C44" s="417">
        <f>C43/12</f>
        <v>5580.6796526285389</v>
      </c>
      <c r="D44" s="417">
        <f>D43/12</f>
        <v>301.6583596015426</v>
      </c>
      <c r="E44" s="417">
        <f>E43/12</f>
        <v>226.24376970115699</v>
      </c>
    </row>
    <row r="45" spans="2:5" ht="14" x14ac:dyDescent="0.3">
      <c r="B45" s="301" t="s">
        <v>411</v>
      </c>
      <c r="C45" s="422">
        <f>C14</f>
        <v>2.5</v>
      </c>
      <c r="D45" s="342">
        <f>C19</f>
        <v>500</v>
      </c>
      <c r="E45" s="110">
        <v>45</v>
      </c>
    </row>
    <row r="46" spans="2:5" ht="14" x14ac:dyDescent="0.3">
      <c r="B46" s="301" t="s">
        <v>412</v>
      </c>
      <c r="C46" s="419">
        <v>2</v>
      </c>
      <c r="D46" s="110">
        <v>1</v>
      </c>
      <c r="E46" s="110">
        <v>5</v>
      </c>
    </row>
    <row r="47" spans="2:5" ht="14" x14ac:dyDescent="0.3">
      <c r="B47" s="301" t="s">
        <v>413</v>
      </c>
      <c r="C47" s="419">
        <f>(C44*C45)/(C15*30/C24)</f>
        <v>4418.038058330927</v>
      </c>
      <c r="D47" s="110">
        <f>(D44*D45)/(30/C26)</f>
        <v>13775.731755137112</v>
      </c>
      <c r="E47" s="110">
        <f>((E44*E45)/4)/(30/13)</f>
        <v>1102.9383772931405</v>
      </c>
    </row>
    <row r="48" spans="2:5" ht="14" x14ac:dyDescent="0.3">
      <c r="B48" s="301" t="s">
        <v>414</v>
      </c>
      <c r="C48" s="414">
        <f>C21</f>
        <v>0.1</v>
      </c>
      <c r="D48" s="414">
        <f>C21</f>
        <v>0.1</v>
      </c>
      <c r="E48" s="414">
        <f>C21</f>
        <v>0.1</v>
      </c>
    </row>
    <row r="49" spans="2:9" ht="14" x14ac:dyDescent="0.3">
      <c r="B49" s="301" t="s">
        <v>415</v>
      </c>
      <c r="C49" s="110">
        <f>C47*(1+C48)</f>
        <v>4859.8418641640201</v>
      </c>
      <c r="D49" s="110">
        <f>D47*(1+D48)</f>
        <v>15153.304930650826</v>
      </c>
      <c r="E49" s="110">
        <f>E47*(1+E48)</f>
        <v>1213.2322150224547</v>
      </c>
      <c r="F49" s="7"/>
      <c r="G49" s="7"/>
      <c r="H49" s="7"/>
      <c r="I49" s="7"/>
    </row>
    <row r="50" spans="2:9" ht="14" x14ac:dyDescent="0.3">
      <c r="B50" s="423" t="s">
        <v>416</v>
      </c>
      <c r="C50" s="424">
        <f>C49*C27</f>
        <v>14.579525592492061</v>
      </c>
      <c r="D50" s="1013"/>
      <c r="E50" s="174"/>
      <c r="F50" s="7"/>
      <c r="G50" s="7"/>
      <c r="H50" s="7"/>
      <c r="I50" s="7"/>
    </row>
    <row r="51" spans="2:9" ht="14" x14ac:dyDescent="0.3">
      <c r="B51" s="426" t="s">
        <v>417</v>
      </c>
      <c r="C51" s="427">
        <f>(C49*C28)</f>
        <v>0</v>
      </c>
      <c r="D51" s="1013"/>
      <c r="E51" s="174"/>
      <c r="F51" s="425"/>
      <c r="G51" s="112"/>
      <c r="H51" s="112"/>
      <c r="I51" s="112"/>
    </row>
    <row r="52" spans="2:9" ht="14" x14ac:dyDescent="0.3">
      <c r="B52" s="428" t="s">
        <v>418</v>
      </c>
      <c r="C52" s="429">
        <f>C49*C29</f>
        <v>485.98418641640205</v>
      </c>
      <c r="D52" s="1013"/>
      <c r="E52" s="430"/>
      <c r="F52" s="431"/>
      <c r="G52" s="112"/>
      <c r="H52" s="112"/>
      <c r="I52" s="112"/>
    </row>
    <row r="53" spans="2:9" ht="14" x14ac:dyDescent="0.3">
      <c r="B53" s="432" t="s">
        <v>419</v>
      </c>
      <c r="C53" s="433">
        <f>(C49)+C50+C52+C51</f>
        <v>5360.4055761729142</v>
      </c>
      <c r="D53" s="1013"/>
      <c r="E53" s="358"/>
      <c r="F53" s="1012"/>
      <c r="G53" s="1012"/>
      <c r="H53" s="112"/>
      <c r="I53" s="112"/>
    </row>
    <row r="54" spans="2:9" ht="14" x14ac:dyDescent="0.3">
      <c r="B54" s="946" t="str">
        <f>B31</f>
        <v>Área necessária para vias/deslocamento/posteamento (m²/ano)</v>
      </c>
      <c r="C54" s="946"/>
      <c r="D54" s="434">
        <f>C31*(D55+D57+D58+D59+D60+D61+D62)</f>
        <v>4258.2722496269598</v>
      </c>
      <c r="E54" s="174"/>
      <c r="F54" s="435"/>
      <c r="G54" s="436"/>
      <c r="H54" s="112"/>
      <c r="I54" s="112"/>
    </row>
    <row r="55" spans="2:9" ht="14" x14ac:dyDescent="0.3">
      <c r="B55" s="946" t="s">
        <v>420</v>
      </c>
      <c r="C55" s="946"/>
      <c r="D55" s="927">
        <f>D49+E49</f>
        <v>16366.537145673281</v>
      </c>
      <c r="E55" s="438"/>
      <c r="F55" s="435"/>
      <c r="G55" s="436"/>
      <c r="H55" s="112"/>
      <c r="I55" s="112"/>
    </row>
    <row r="56" spans="2:9" ht="14" x14ac:dyDescent="0.3">
      <c r="B56" s="10" t="s">
        <v>421</v>
      </c>
      <c r="C56" s="19"/>
      <c r="D56" s="926">
        <f>(D55)*0.2</f>
        <v>3273.3074291346566</v>
      </c>
      <c r="E56" s="174"/>
      <c r="F56" s="435"/>
      <c r="G56" s="436"/>
      <c r="H56" s="112"/>
      <c r="I56" s="112"/>
    </row>
    <row r="57" spans="2:9" ht="14" x14ac:dyDescent="0.3">
      <c r="B57" s="946" t="s">
        <v>422</v>
      </c>
      <c r="C57" s="946"/>
      <c r="D57" s="928">
        <v>0</v>
      </c>
      <c r="E57" s="438"/>
      <c r="F57" s="435"/>
      <c r="G57" s="436"/>
      <c r="H57" s="112"/>
      <c r="I57" s="112"/>
    </row>
    <row r="58" spans="2:9" ht="14" x14ac:dyDescent="0.3">
      <c r="B58" s="946" t="s">
        <v>423</v>
      </c>
      <c r="C58" s="946"/>
      <c r="D58" s="437">
        <f>SQRT(D57)*22.2</f>
        <v>0</v>
      </c>
      <c r="E58" s="438"/>
      <c r="F58" s="435"/>
      <c r="G58" s="436"/>
      <c r="H58" s="112"/>
      <c r="I58" s="112"/>
    </row>
    <row r="59" spans="2:9" ht="14" x14ac:dyDescent="0.3">
      <c r="B59" s="946" t="s">
        <v>424</v>
      </c>
      <c r="C59" s="946"/>
      <c r="D59" s="437">
        <f>D49*C32</f>
        <v>757.66524653254135</v>
      </c>
      <c r="E59" s="438"/>
      <c r="F59" s="411"/>
      <c r="G59" s="112"/>
      <c r="H59" s="112"/>
      <c r="I59" s="112"/>
    </row>
    <row r="60" spans="2:9" ht="14" x14ac:dyDescent="0.3">
      <c r="B60" s="946" t="s">
        <v>425</v>
      </c>
      <c r="C60" s="946"/>
      <c r="D60" s="439">
        <f>0.5*D59</f>
        <v>378.83262326627067</v>
      </c>
      <c r="E60" s="438"/>
      <c r="F60" s="411"/>
      <c r="G60" s="112"/>
      <c r="H60" s="112"/>
      <c r="I60" s="112"/>
    </row>
    <row r="61" spans="2:9" ht="14" x14ac:dyDescent="0.3">
      <c r="B61" s="946" t="s">
        <v>426</v>
      </c>
      <c r="C61" s="946"/>
      <c r="D61" s="416">
        <f>C33*D49</f>
        <v>3030.6609861301654</v>
      </c>
      <c r="E61" s="174"/>
      <c r="F61" s="411"/>
      <c r="G61" s="112"/>
      <c r="H61" s="112"/>
      <c r="I61" s="112"/>
    </row>
    <row r="62" spans="2:9" ht="14" x14ac:dyDescent="0.3">
      <c r="B62" s="946" t="s">
        <v>400</v>
      </c>
      <c r="C62" s="946"/>
      <c r="D62" s="416">
        <f>C34*D49</f>
        <v>757.66524653254135</v>
      </c>
      <c r="E62" s="174"/>
      <c r="F62" s="411"/>
      <c r="G62" s="112"/>
      <c r="H62" s="112"/>
      <c r="I62" s="112"/>
    </row>
    <row r="63" spans="2:9" ht="15.5" x14ac:dyDescent="0.35">
      <c r="B63" s="1010" t="s">
        <v>427</v>
      </c>
      <c r="C63" s="1010"/>
      <c r="D63" s="440">
        <f>SUM(D54:D62)</f>
        <v>28822.940926896415</v>
      </c>
      <c r="E63" s="438"/>
      <c r="F63" s="411"/>
      <c r="G63" s="112"/>
      <c r="H63" s="112"/>
      <c r="I63" s="112"/>
    </row>
    <row r="64" spans="2:9" ht="14" x14ac:dyDescent="0.3">
      <c r="B64" s="1011"/>
      <c r="C64" s="1011"/>
      <c r="D64" s="1011"/>
      <c r="E64" s="358"/>
      <c r="F64" s="1012"/>
      <c r="G64" s="1012"/>
      <c r="H64" s="1012"/>
      <c r="I64" s="1012"/>
    </row>
    <row r="65" spans="2:4" ht="15.5" x14ac:dyDescent="0.35">
      <c r="B65" s="441" t="s">
        <v>428</v>
      </c>
      <c r="C65" s="112"/>
      <c r="D65" s="442" t="s">
        <v>236</v>
      </c>
    </row>
    <row r="66" spans="2:4" ht="14" x14ac:dyDescent="0.3">
      <c r="B66" s="443" t="s">
        <v>429</v>
      </c>
      <c r="C66" s="19"/>
      <c r="D66" s="444">
        <f>4*25</f>
        <v>100</v>
      </c>
    </row>
    <row r="67" spans="2:4" ht="14" x14ac:dyDescent="0.3">
      <c r="B67" s="443" t="s">
        <v>430</v>
      </c>
      <c r="C67" s="445"/>
      <c r="D67" s="444">
        <v>45</v>
      </c>
    </row>
    <row r="68" spans="2:4" ht="14" x14ac:dyDescent="0.3">
      <c r="B68" s="446" t="s">
        <v>431</v>
      </c>
      <c r="C68" s="19"/>
      <c r="D68" s="447">
        <v>15</v>
      </c>
    </row>
    <row r="69" spans="2:4" ht="14" x14ac:dyDescent="0.3">
      <c r="B69" s="448" t="s">
        <v>432</v>
      </c>
      <c r="C69" s="449"/>
      <c r="D69" s="450">
        <f>'Memória-m²_trei_estaç_tel_agua'!I59</f>
        <v>2028.25</v>
      </c>
    </row>
    <row r="70" spans="2:4" ht="15.5" x14ac:dyDescent="0.35">
      <c r="B70" s="451" t="s">
        <v>433</v>
      </c>
      <c r="C70" s="445"/>
      <c r="D70" s="452">
        <f>SUM(D66:D69)</f>
        <v>2188.25</v>
      </c>
    </row>
    <row r="71" spans="2:4" ht="14" x14ac:dyDescent="0.3">
      <c r="B71" s="20"/>
      <c r="C71" s="20"/>
      <c r="D71" s="358"/>
    </row>
    <row r="72" spans="2:4" ht="13" x14ac:dyDescent="0.3">
      <c r="B72" s="112"/>
      <c r="C72" s="112"/>
      <c r="D72" s="453"/>
    </row>
    <row r="73" spans="2:4" ht="15.5" x14ac:dyDescent="0.35">
      <c r="B73" s="454" t="s">
        <v>434</v>
      </c>
      <c r="C73" s="19"/>
      <c r="D73" s="894">
        <f>C53+D63+D70</f>
        <v>36371.596503069333</v>
      </c>
    </row>
  </sheetData>
  <mergeCells count="24">
    <mergeCell ref="B2:C2"/>
    <mergeCell ref="B3:C3"/>
    <mergeCell ref="B4:C4"/>
    <mergeCell ref="B7:C7"/>
    <mergeCell ref="G13:M13"/>
    <mergeCell ref="G14:M14"/>
    <mergeCell ref="G15:M15"/>
    <mergeCell ref="B36:B39"/>
    <mergeCell ref="C36:D36"/>
    <mergeCell ref="C37:D37"/>
    <mergeCell ref="C38:D38"/>
    <mergeCell ref="D50:D53"/>
    <mergeCell ref="F53:G53"/>
    <mergeCell ref="B54:C54"/>
    <mergeCell ref="B55:C55"/>
    <mergeCell ref="B57:C57"/>
    <mergeCell ref="B63:C63"/>
    <mergeCell ref="B64:D64"/>
    <mergeCell ref="F64:I64"/>
    <mergeCell ref="B58:C58"/>
    <mergeCell ref="B59:C59"/>
    <mergeCell ref="B60:C60"/>
    <mergeCell ref="B61:C61"/>
    <mergeCell ref="B62:C62"/>
  </mergeCells>
  <pageMargins left="0.51180555555555496" right="0.51180555555555496" top="0.78749999999999998" bottom="0.78749999999999998" header="0.51180555555555496" footer="0.51180555555555496"/>
  <pageSetup paperSize="9" firstPageNumber="0"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B2:K49"/>
  <sheetViews>
    <sheetView topLeftCell="A11" workbookViewId="0">
      <selection activeCell="E50" sqref="E50"/>
    </sheetView>
  </sheetViews>
  <sheetFormatPr defaultRowHeight="12.5" x14ac:dyDescent="0.25"/>
  <cols>
    <col min="1" max="1" width="8.7265625" customWidth="1"/>
    <col min="2" max="2" width="104.7265625" customWidth="1"/>
    <col min="3" max="3" width="13.26953125" customWidth="1"/>
    <col min="4" max="4" width="21.26953125" customWidth="1"/>
    <col min="5" max="5" width="16.54296875" customWidth="1"/>
    <col min="6" max="6" width="17.1796875" customWidth="1"/>
    <col min="7" max="7" width="13" customWidth="1"/>
    <col min="8" max="8" width="24.26953125" customWidth="1"/>
    <col min="9" max="10" width="8.7265625" customWidth="1"/>
    <col min="11" max="11" width="24.81640625" customWidth="1"/>
    <col min="12" max="26" width="8.7265625" customWidth="1"/>
    <col min="27" max="1025" width="14.453125" customWidth="1"/>
  </cols>
  <sheetData>
    <row r="2" spans="2:11" ht="12.75" customHeight="1" x14ac:dyDescent="0.35">
      <c r="B2" s="949" t="s">
        <v>70</v>
      </c>
      <c r="C2" s="949"/>
      <c r="D2" s="7"/>
      <c r="E2" s="7"/>
      <c r="F2" s="7"/>
      <c r="G2" s="8"/>
      <c r="H2" s="98"/>
      <c r="I2" s="7"/>
      <c r="J2" s="7"/>
      <c r="K2" s="7"/>
    </row>
    <row r="3" spans="2:11" ht="12.75" customHeight="1" x14ac:dyDescent="0.35">
      <c r="B3" s="950" t="s">
        <v>71</v>
      </c>
      <c r="C3" s="950"/>
      <c r="D3" s="7"/>
      <c r="E3" s="7"/>
      <c r="F3" s="7"/>
      <c r="G3" s="8"/>
      <c r="H3" s="98"/>
      <c r="I3" s="7"/>
      <c r="J3" s="7"/>
      <c r="K3" s="7"/>
    </row>
    <row r="4" spans="2:11" ht="12.75" customHeight="1" x14ac:dyDescent="0.35">
      <c r="B4" s="951"/>
      <c r="C4" s="951"/>
      <c r="D4" s="7"/>
      <c r="E4" s="7"/>
      <c r="F4" s="7"/>
      <c r="G4" s="8"/>
      <c r="H4" s="98"/>
      <c r="I4" s="7"/>
      <c r="J4" s="7"/>
      <c r="K4" s="7"/>
    </row>
    <row r="5" spans="2:11" ht="12.75" customHeight="1" x14ac:dyDescent="0.3">
      <c r="B5" s="7"/>
      <c r="C5" s="7"/>
      <c r="D5" s="7"/>
      <c r="E5" s="7"/>
      <c r="F5" s="7"/>
      <c r="G5" s="8"/>
      <c r="H5" s="98"/>
      <c r="I5" s="7"/>
      <c r="J5" s="7"/>
      <c r="K5" s="7"/>
    </row>
    <row r="6" spans="2:11" ht="12.75" customHeight="1" x14ac:dyDescent="0.3">
      <c r="B6" s="7"/>
      <c r="C6" s="7"/>
      <c r="D6" s="7"/>
      <c r="E6" s="7"/>
      <c r="F6" s="7"/>
      <c r="G6" s="8"/>
      <c r="H6" s="98"/>
      <c r="I6" s="7"/>
      <c r="J6" s="7"/>
      <c r="K6" s="7"/>
    </row>
    <row r="7" spans="2:11" ht="22.5" customHeight="1" x14ac:dyDescent="0.35">
      <c r="B7" s="969" t="s">
        <v>435</v>
      </c>
      <c r="C7" s="969"/>
      <c r="D7" s="969"/>
      <c r="E7" s="7"/>
      <c r="F7" s="7"/>
      <c r="G7" s="1022"/>
      <c r="H7" s="1022"/>
      <c r="I7" s="1022"/>
      <c r="J7" s="1022"/>
      <c r="K7" s="1022"/>
    </row>
    <row r="8" spans="2:11" ht="18.75" customHeight="1" x14ac:dyDescent="0.35">
      <c r="B8" s="455"/>
      <c r="C8" s="18"/>
      <c r="D8" s="18"/>
      <c r="E8" s="18"/>
      <c r="F8" s="18"/>
      <c r="G8" s="1022"/>
      <c r="H8" s="1022"/>
      <c r="I8" s="1022"/>
      <c r="J8" s="1022"/>
      <c r="K8" s="1022"/>
    </row>
    <row r="9" spans="2:11" ht="12.75" customHeight="1" x14ac:dyDescent="0.3">
      <c r="B9" s="112"/>
      <c r="C9" s="456"/>
      <c r="D9" s="456"/>
      <c r="E9" s="8"/>
      <c r="F9" s="98"/>
      <c r="G9" s="8"/>
      <c r="H9" s="98"/>
      <c r="I9" s="7"/>
      <c r="J9" s="7"/>
      <c r="K9" s="7"/>
    </row>
    <row r="10" spans="2:11" ht="12.75" customHeight="1" x14ac:dyDescent="0.3">
      <c r="B10" s="1014"/>
      <c r="C10" s="1015" t="s">
        <v>401</v>
      </c>
      <c r="D10" s="1015"/>
      <c r="E10" s="8"/>
      <c r="F10" s="98"/>
      <c r="G10" s="8"/>
      <c r="H10" s="98"/>
      <c r="I10" s="7"/>
      <c r="J10" s="7"/>
      <c r="K10" s="7"/>
    </row>
    <row r="11" spans="2:11" ht="12.75" customHeight="1" x14ac:dyDescent="0.3">
      <c r="B11" s="1014"/>
      <c r="C11" s="1023" t="s">
        <v>402</v>
      </c>
      <c r="D11" s="1023"/>
      <c r="E11" s="8"/>
      <c r="F11" s="98"/>
      <c r="G11" s="8"/>
      <c r="H11" s="98"/>
      <c r="I11" s="7"/>
      <c r="J11" s="7"/>
      <c r="K11" s="7"/>
    </row>
    <row r="12" spans="2:11" ht="12.75" customHeight="1" x14ac:dyDescent="0.3">
      <c r="B12" s="1014"/>
      <c r="C12" s="1024">
        <f>'Anexo II - Carga-demanda'!F35/1000</f>
        <v>82316.432971923932</v>
      </c>
      <c r="D12" s="1024"/>
      <c r="E12" s="8"/>
      <c r="F12" s="98"/>
      <c r="G12" s="7"/>
      <c r="H12" s="7"/>
      <c r="I12" s="7"/>
      <c r="J12" s="7"/>
      <c r="K12" s="7"/>
    </row>
    <row r="13" spans="2:11" ht="15" customHeight="1" x14ac:dyDescent="0.3">
      <c r="B13" s="1014"/>
      <c r="C13" s="409" t="s">
        <v>403</v>
      </c>
      <c r="D13" s="409" t="s">
        <v>404</v>
      </c>
      <c r="E13" s="409" t="s">
        <v>405</v>
      </c>
      <c r="F13" s="98"/>
      <c r="G13" s="7"/>
      <c r="H13" s="7"/>
      <c r="I13" s="7"/>
      <c r="J13" s="7"/>
      <c r="K13" s="7"/>
    </row>
    <row r="14" spans="2:11" ht="12.75" customHeight="1" x14ac:dyDescent="0.3">
      <c r="B14" s="413" t="s">
        <v>406</v>
      </c>
      <c r="C14" s="756">
        <f>'Anexo IV - ano 1 a 10 - inicial'!C40</f>
        <v>0.5</v>
      </c>
      <c r="D14" s="414">
        <v>1</v>
      </c>
      <c r="E14" s="392">
        <v>0.75</v>
      </c>
      <c r="F14" s="98"/>
      <c r="G14" s="7"/>
      <c r="H14" s="7"/>
      <c r="I14" s="7"/>
      <c r="J14" s="7"/>
      <c r="K14" s="7"/>
    </row>
    <row r="15" spans="2:11" ht="12.75" customHeight="1" x14ac:dyDescent="0.3">
      <c r="B15" s="301" t="s">
        <v>407</v>
      </c>
      <c r="C15" s="416">
        <f>C12*C14</f>
        <v>41158.216485961966</v>
      </c>
      <c r="D15" s="416">
        <f>C12*D14</f>
        <v>82316.432971923932</v>
      </c>
      <c r="E15" s="417">
        <f>C12*E14</f>
        <v>61737.324728942949</v>
      </c>
      <c r="F15" s="98"/>
      <c r="G15" s="7"/>
      <c r="H15" s="7"/>
      <c r="I15" s="7"/>
      <c r="J15" s="7"/>
      <c r="K15" s="7"/>
    </row>
    <row r="16" spans="2:11" ht="12.75" customHeight="1" x14ac:dyDescent="0.3">
      <c r="B16" s="301" t="s">
        <v>408</v>
      </c>
      <c r="C16" s="321">
        <v>0.5</v>
      </c>
      <c r="D16" s="321">
        <f>'Anexo IV - ano 1 a 10 - inicial'!C13</f>
        <v>18.5</v>
      </c>
      <c r="E16" s="418">
        <v>18.5</v>
      </c>
      <c r="F16" s="98"/>
      <c r="G16" s="7"/>
      <c r="H16" s="7"/>
      <c r="I16" s="7"/>
      <c r="J16" s="7"/>
      <c r="K16" s="7"/>
    </row>
    <row r="17" spans="2:5" ht="12.75" customHeight="1" x14ac:dyDescent="0.3">
      <c r="B17" s="301" t="s">
        <v>409</v>
      </c>
      <c r="C17" s="110">
        <f>C15/C16</f>
        <v>82316.432971923932</v>
      </c>
      <c r="D17" s="110">
        <f>D15/D16</f>
        <v>4449.536917401294</v>
      </c>
      <c r="E17" s="110">
        <f>E15/E16</f>
        <v>3337.15268805097</v>
      </c>
    </row>
    <row r="18" spans="2:5" ht="12.75" customHeight="1" x14ac:dyDescent="0.3">
      <c r="B18" s="421" t="s">
        <v>410</v>
      </c>
      <c r="C18" s="416">
        <f>C17/12</f>
        <v>6859.702747660328</v>
      </c>
      <c r="D18" s="416">
        <f>D17/12</f>
        <v>370.7947431167745</v>
      </c>
      <c r="E18" s="417">
        <f>E17/12</f>
        <v>278.09605733758082</v>
      </c>
    </row>
    <row r="19" spans="2:5" ht="12.75" customHeight="1" x14ac:dyDescent="0.3">
      <c r="B19" s="301" t="s">
        <v>411</v>
      </c>
      <c r="C19" s="308">
        <f>'Anexo IV - ano 1 a 10 - inicial'!C14</f>
        <v>2.5</v>
      </c>
      <c r="D19" s="342">
        <f>'Anexo IV - ano 1 a 10 - inicial'!C19</f>
        <v>500</v>
      </c>
      <c r="E19" s="110">
        <v>45</v>
      </c>
    </row>
    <row r="20" spans="2:5" ht="12.75" customHeight="1" x14ac:dyDescent="0.3">
      <c r="B20" s="301" t="s">
        <v>412</v>
      </c>
      <c r="C20" s="302">
        <f>'Anexo IV - ano 1 a 10 - inicial'!C15</f>
        <v>2</v>
      </c>
      <c r="D20" s="110">
        <v>1</v>
      </c>
      <c r="E20" s="110">
        <v>4</v>
      </c>
    </row>
    <row r="21" spans="2:5" ht="12.75" customHeight="1" x14ac:dyDescent="0.3">
      <c r="B21" s="301" t="s">
        <v>413</v>
      </c>
      <c r="C21" s="302">
        <f>(C18*C19)/(C20*30/'Anexo IV - ano 1 a 10 - inicial'!C24)</f>
        <v>5430.598008564426</v>
      </c>
      <c r="D21" s="110">
        <f>(D18*D19)/(D20*30/'Anexo IV - ano 1 a 10 - inicial'!C26)</f>
        <v>16932.959935666036</v>
      </c>
      <c r="E21" s="110">
        <f>((E18*E19)/4)/(30/13)</f>
        <v>1355.7182795207068</v>
      </c>
    </row>
    <row r="22" spans="2:5" ht="12.75" customHeight="1" x14ac:dyDescent="0.3">
      <c r="B22" s="301" t="s">
        <v>414</v>
      </c>
      <c r="C22" s="457">
        <f>'Anexo IV - ano 1 a 10 - inicial'!C17</f>
        <v>0.2</v>
      </c>
      <c r="D22" s="457">
        <f>'Anexo IV - ano 1 a 10 - inicial'!C22</f>
        <v>0.1</v>
      </c>
      <c r="E22" s="414">
        <v>0.1</v>
      </c>
    </row>
    <row r="23" spans="2:5" ht="12.75" customHeight="1" x14ac:dyDescent="0.3">
      <c r="B23" s="301" t="s">
        <v>436</v>
      </c>
      <c r="C23" s="110">
        <f>C21*(1+C22)</f>
        <v>6516.717610277311</v>
      </c>
      <c r="D23" s="110">
        <f>D21*(1+D22)</f>
        <v>18626.25592923264</v>
      </c>
      <c r="E23" s="110">
        <f>E21*(1+E22)</f>
        <v>1491.2901074727777</v>
      </c>
    </row>
    <row r="24" spans="2:5" ht="13.5" customHeight="1" x14ac:dyDescent="0.3">
      <c r="B24" s="423" t="s">
        <v>416</v>
      </c>
      <c r="C24" s="424">
        <f>C23*'Anexo IV - ano 1 a 10 - inicial'!C27</f>
        <v>19.550152830831934</v>
      </c>
      <c r="D24" s="1013"/>
      <c r="E24" s="220"/>
    </row>
    <row r="25" spans="2:5" ht="13.5" customHeight="1" x14ac:dyDescent="0.3">
      <c r="B25" s="426" t="s">
        <v>417</v>
      </c>
      <c r="C25" s="427">
        <f>(C23*'Anexo IV - ano 1 a 10 - inicial'!C28)</f>
        <v>0</v>
      </c>
      <c r="D25" s="1013"/>
      <c r="E25" s="220"/>
    </row>
    <row r="26" spans="2:5" ht="12.75" customHeight="1" x14ac:dyDescent="0.3">
      <c r="B26" s="428" t="s">
        <v>418</v>
      </c>
      <c r="C26" s="429">
        <f>C23*'Anexo IV - ano 1 a 10 - inicial'!C29</f>
        <v>651.67176102773112</v>
      </c>
      <c r="D26" s="1013"/>
      <c r="E26" s="1021"/>
    </row>
    <row r="27" spans="2:5" ht="12.75" customHeight="1" x14ac:dyDescent="0.3">
      <c r="B27" s="432" t="s">
        <v>419</v>
      </c>
      <c r="C27" s="433">
        <f>(C23)+C24+C25+C26</f>
        <v>7187.9395241358743</v>
      </c>
      <c r="D27" s="1013"/>
      <c r="E27" s="1021"/>
    </row>
    <row r="28" spans="2:5" ht="12.75" customHeight="1" x14ac:dyDescent="0.3">
      <c r="B28" s="946" t="str">
        <f>'Anexo IV - ano 1 a 10 - inicial'!B54</f>
        <v>Área necessária para vias/deslocamento/posteamento (m²/ano)</v>
      </c>
      <c r="C28" s="946"/>
      <c r="D28" s="416">
        <f>(D29+D31+D32+D33+D34+D35+D36+D37)*'Anexo IV - ano 1 a 10 - inicial'!C31</f>
        <v>5234.215842741206</v>
      </c>
      <c r="E28" s="8"/>
    </row>
    <row r="29" spans="2:5" ht="12.75" customHeight="1" x14ac:dyDescent="0.3">
      <c r="B29" s="946" t="s">
        <v>420</v>
      </c>
      <c r="C29" s="946"/>
      <c r="D29" s="416">
        <f>D23+E23</f>
        <v>20117.546036705418</v>
      </c>
      <c r="E29" s="8"/>
    </row>
    <row r="30" spans="2:5" ht="12.75" customHeight="1" x14ac:dyDescent="0.3">
      <c r="B30" s="10" t="str">
        <f>'Anexo IV - ano 1 a 10 - inicial'!B56</f>
        <v>Área pré-embarque (pulmão para estacionamento de caminhões antes da entrada no recinto)</v>
      </c>
      <c r="C30" s="15"/>
      <c r="D30" s="416">
        <f>(D29)*0.2</f>
        <v>4023.5092073410838</v>
      </c>
      <c r="E30" s="8"/>
    </row>
    <row r="31" spans="2:5" ht="12.75" customHeight="1" x14ac:dyDescent="0.3">
      <c r="B31" s="946" t="s">
        <v>422</v>
      </c>
      <c r="C31" s="946"/>
      <c r="D31" s="416">
        <v>0</v>
      </c>
      <c r="E31" s="8"/>
    </row>
    <row r="32" spans="2:5" ht="12.75" customHeight="1" x14ac:dyDescent="0.3">
      <c r="B32" s="946" t="s">
        <v>437</v>
      </c>
      <c r="C32" s="946"/>
      <c r="D32" s="416">
        <f>SQRT(D31)*22.2</f>
        <v>0</v>
      </c>
      <c r="E32" s="8"/>
    </row>
    <row r="33" spans="2:5" ht="12.75" customHeight="1" x14ac:dyDescent="0.3">
      <c r="B33" s="946" t="s">
        <v>424</v>
      </c>
      <c r="C33" s="946"/>
      <c r="D33" s="458">
        <f>D23*'Anexo IV - ano 1 a 10 - inicial'!C32</f>
        <v>931.31279646163205</v>
      </c>
      <c r="E33" s="8"/>
    </row>
    <row r="34" spans="2:5" ht="12.75" customHeight="1" x14ac:dyDescent="0.3">
      <c r="B34" s="946" t="s">
        <v>425</v>
      </c>
      <c r="C34" s="946"/>
      <c r="D34" s="416">
        <f>D33*0.5</f>
        <v>465.65639823081602</v>
      </c>
      <c r="E34" s="8"/>
    </row>
    <row r="35" spans="2:5" ht="12.75" customHeight="1" x14ac:dyDescent="0.3">
      <c r="B35" s="946" t="s">
        <v>438</v>
      </c>
      <c r="C35" s="946"/>
      <c r="D35" s="459">
        <f>D23*'Anexo IV - ano 1 a 10 - inicial'!C33</f>
        <v>3725.2511858465282</v>
      </c>
      <c r="E35" s="152"/>
    </row>
    <row r="36" spans="2:5" ht="12.75" customHeight="1" x14ac:dyDescent="0.3">
      <c r="B36" s="10" t="s">
        <v>439</v>
      </c>
      <c r="C36" s="15"/>
      <c r="D36" s="459">
        <v>0</v>
      </c>
      <c r="E36" s="152"/>
    </row>
    <row r="37" spans="2:5" ht="12.75" customHeight="1" x14ac:dyDescent="0.3">
      <c r="B37" s="946" t="s">
        <v>400</v>
      </c>
      <c r="C37" s="946"/>
      <c r="D37" s="416">
        <f>D23*'Anexo IV - ano 1 a 10 - inicial'!C34</f>
        <v>931.31279646163205</v>
      </c>
      <c r="E37" s="152"/>
    </row>
    <row r="38" spans="2:5" ht="12.75" customHeight="1" x14ac:dyDescent="0.35">
      <c r="B38" s="1018" t="s">
        <v>427</v>
      </c>
      <c r="C38" s="1018"/>
      <c r="D38" s="460">
        <f>SUM(D28:D37)</f>
        <v>35428.804263788312</v>
      </c>
      <c r="E38" s="152"/>
    </row>
    <row r="39" spans="2:5" ht="12.75" customHeight="1" x14ac:dyDescent="0.3">
      <c r="B39" s="1019"/>
      <c r="C39" s="1019"/>
      <c r="D39" s="1019"/>
      <c r="E39" s="8"/>
    </row>
    <row r="40" spans="2:5" ht="12.75" customHeight="1" x14ac:dyDescent="0.3">
      <c r="B40" s="1020"/>
      <c r="C40" s="1020"/>
      <c r="D40" s="1020"/>
      <c r="E40" s="8"/>
    </row>
    <row r="41" spans="2:5" ht="12.75" customHeight="1" x14ac:dyDescent="0.35">
      <c r="B41" s="441" t="s">
        <v>440</v>
      </c>
      <c r="C41" s="19"/>
      <c r="D41" s="461" t="s">
        <v>236</v>
      </c>
      <c r="E41" s="220"/>
    </row>
    <row r="42" spans="2:5" ht="12.75" customHeight="1" x14ac:dyDescent="0.3">
      <c r="B42" s="443" t="s">
        <v>429</v>
      </c>
      <c r="C42" s="19"/>
      <c r="D42" s="444">
        <f>'Anexo IV - ano 1 a 10 - inicial'!D66</f>
        <v>100</v>
      </c>
      <c r="E42" s="220"/>
    </row>
    <row r="43" spans="2:5" ht="12.75" customHeight="1" x14ac:dyDescent="0.3">
      <c r="B43" s="443" t="s">
        <v>441</v>
      </c>
      <c r="C43" s="445"/>
      <c r="D43" s="444">
        <v>45</v>
      </c>
      <c r="E43" s="220"/>
    </row>
    <row r="44" spans="2:5" ht="12.75" customHeight="1" x14ac:dyDescent="0.3">
      <c r="B44" s="446" t="s">
        <v>431</v>
      </c>
      <c r="C44" s="19"/>
      <c r="D44" s="447">
        <v>15</v>
      </c>
      <c r="E44" s="220"/>
    </row>
    <row r="45" spans="2:5" ht="12.75" customHeight="1" x14ac:dyDescent="0.3">
      <c r="B45" s="446" t="s">
        <v>432</v>
      </c>
      <c r="C45" s="19"/>
      <c r="D45" s="450">
        <f>'Memória-m²_trei_estaç_tel_agua'!P59</f>
        <v>2405</v>
      </c>
      <c r="E45" s="7"/>
    </row>
    <row r="46" spans="2:5" ht="12.75" customHeight="1" x14ac:dyDescent="0.3">
      <c r="B46" s="446" t="s">
        <v>433</v>
      </c>
      <c r="C46" s="19"/>
      <c r="D46" s="462">
        <f>SUM(D42:D45)</f>
        <v>2565</v>
      </c>
      <c r="E46" s="220"/>
    </row>
    <row r="49" spans="2:4" ht="12.75" customHeight="1" x14ac:dyDescent="0.35">
      <c r="B49" s="454" t="s">
        <v>442</v>
      </c>
      <c r="C49" s="19"/>
      <c r="D49" s="894">
        <f>C27+D38+D46</f>
        <v>45181.743787924184</v>
      </c>
    </row>
  </sheetData>
  <mergeCells count="23">
    <mergeCell ref="B2:C2"/>
    <mergeCell ref="B3:C3"/>
    <mergeCell ref="B4:C4"/>
    <mergeCell ref="B7:D7"/>
    <mergeCell ref="G7:K7"/>
    <mergeCell ref="G8:K8"/>
    <mergeCell ref="B10:B13"/>
    <mergeCell ref="C10:D10"/>
    <mergeCell ref="C11:D11"/>
    <mergeCell ref="C12:D12"/>
    <mergeCell ref="D24:D27"/>
    <mergeCell ref="E26:E27"/>
    <mergeCell ref="B28:C28"/>
    <mergeCell ref="B29:C29"/>
    <mergeCell ref="B37:C37"/>
    <mergeCell ref="B38:C38"/>
    <mergeCell ref="B39:D39"/>
    <mergeCell ref="B40:D40"/>
    <mergeCell ref="B31:C31"/>
    <mergeCell ref="B32:C32"/>
    <mergeCell ref="B33:C33"/>
    <mergeCell ref="B34:C34"/>
    <mergeCell ref="B35:C35"/>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B2:G48"/>
  <sheetViews>
    <sheetView topLeftCell="A27" workbookViewId="0">
      <selection activeCell="D50" sqref="D50"/>
    </sheetView>
  </sheetViews>
  <sheetFormatPr defaultRowHeight="12.5" x14ac:dyDescent="0.25"/>
  <cols>
    <col min="1" max="1" width="8.7265625" customWidth="1"/>
    <col min="2" max="2" width="111.54296875" customWidth="1"/>
    <col min="3" max="3" width="16.1796875" customWidth="1"/>
    <col min="4" max="4" width="22.54296875" customWidth="1"/>
    <col min="5" max="5" width="16.7265625" bestFit="1" customWidth="1"/>
    <col min="6" max="6" width="6.7265625" customWidth="1"/>
    <col min="7" max="7" width="11.1796875" customWidth="1"/>
    <col min="8" max="8" width="22.26953125" customWidth="1"/>
    <col min="9" max="9" width="10.54296875" customWidth="1"/>
    <col min="10" max="10" width="25.81640625" customWidth="1"/>
    <col min="11" max="26" width="8.7265625" customWidth="1"/>
    <col min="27" max="1025" width="14.453125" customWidth="1"/>
  </cols>
  <sheetData>
    <row r="2" spans="2:5" ht="12.75" customHeight="1" x14ac:dyDescent="0.35">
      <c r="B2" s="949" t="s">
        <v>70</v>
      </c>
      <c r="C2" s="949"/>
      <c r="D2" s="7"/>
      <c r="E2" s="7"/>
    </row>
    <row r="3" spans="2:5" ht="12.75" customHeight="1" x14ac:dyDescent="0.35">
      <c r="B3" s="950" t="s">
        <v>71</v>
      </c>
      <c r="C3" s="950"/>
      <c r="D3" s="7"/>
      <c r="E3" s="7"/>
    </row>
    <row r="4" spans="2:5" ht="12.75" customHeight="1" x14ac:dyDescent="0.35">
      <c r="B4" s="951"/>
      <c r="C4" s="951"/>
      <c r="D4" s="7"/>
      <c r="E4" s="7"/>
    </row>
    <row r="5" spans="2:5" ht="12.75" customHeight="1" x14ac:dyDescent="0.35">
      <c r="B5" s="9"/>
      <c r="C5" s="9"/>
      <c r="D5" s="7"/>
      <c r="E5" s="7"/>
    </row>
    <row r="6" spans="2:5" ht="12.75" customHeight="1" x14ac:dyDescent="0.35">
      <c r="B6" s="9"/>
      <c r="C6" s="7"/>
      <c r="D6" s="8"/>
      <c r="E6" s="8"/>
    </row>
    <row r="7" spans="2:5" ht="22.9" customHeight="1" x14ac:dyDescent="0.35">
      <c r="B7" s="118" t="s">
        <v>443</v>
      </c>
      <c r="C7" s="7"/>
      <c r="D7" s="7"/>
      <c r="E7" s="7"/>
    </row>
    <row r="8" spans="2:5" ht="12.75" customHeight="1" x14ac:dyDescent="0.35">
      <c r="B8" s="9"/>
      <c r="C8" s="7"/>
      <c r="D8" s="7"/>
      <c r="E8" s="7"/>
    </row>
    <row r="9" spans="2:5" ht="12.75" customHeight="1" x14ac:dyDescent="0.25">
      <c r="B9" s="7"/>
      <c r="C9" s="7"/>
      <c r="D9" s="7"/>
      <c r="E9" s="7"/>
    </row>
    <row r="10" spans="2:5" ht="12.75" customHeight="1" x14ac:dyDescent="0.3">
      <c r="B10" s="1014"/>
      <c r="C10" s="1015" t="s">
        <v>401</v>
      </c>
      <c r="D10" s="1015"/>
      <c r="E10" s="8"/>
    </row>
    <row r="11" spans="2:5" ht="12.75" customHeight="1" x14ac:dyDescent="0.3">
      <c r="B11" s="1014"/>
      <c r="C11" s="1023" t="s">
        <v>402</v>
      </c>
      <c r="D11" s="1023"/>
      <c r="E11" s="8"/>
    </row>
    <row r="12" spans="2:5" ht="12.75" customHeight="1" x14ac:dyDescent="0.3">
      <c r="B12" s="1014"/>
      <c r="C12" s="1026">
        <f>('Anexo II - Carga-demanda'!D45)/1000</f>
        <v>96476.962657325625</v>
      </c>
      <c r="D12" s="1026"/>
      <c r="E12" s="8"/>
    </row>
    <row r="13" spans="2:5" ht="15" customHeight="1" x14ac:dyDescent="0.3">
      <c r="B13" s="1014"/>
      <c r="C13" s="409" t="s">
        <v>403</v>
      </c>
      <c r="D13" s="409" t="s">
        <v>404</v>
      </c>
      <c r="E13" s="409" t="s">
        <v>405</v>
      </c>
    </row>
    <row r="14" spans="2:5" ht="12.75" customHeight="1" x14ac:dyDescent="0.3">
      <c r="B14" s="413" t="s">
        <v>406</v>
      </c>
      <c r="C14" s="756">
        <v>0.5</v>
      </c>
      <c r="D14" s="414">
        <v>1</v>
      </c>
      <c r="E14" s="392">
        <v>0.75</v>
      </c>
    </row>
    <row r="15" spans="2:5" ht="12.75" customHeight="1" x14ac:dyDescent="0.3">
      <c r="B15" s="301" t="s">
        <v>407</v>
      </c>
      <c r="C15" s="416">
        <f>C12*C14</f>
        <v>48238.481328662812</v>
      </c>
      <c r="D15" s="416">
        <f>C12*D14</f>
        <v>96476.962657325625</v>
      </c>
      <c r="E15" s="417">
        <f>C12*E14</f>
        <v>72357.721992994222</v>
      </c>
    </row>
    <row r="16" spans="2:5" ht="12.75" customHeight="1" x14ac:dyDescent="0.3">
      <c r="B16" s="301" t="s">
        <v>408</v>
      </c>
      <c r="C16" s="321">
        <v>0.5</v>
      </c>
      <c r="D16" s="321">
        <f>'Anexo IV - ano 1 a 10 - inicial'!C13</f>
        <v>18.5</v>
      </c>
      <c r="E16" s="418">
        <v>18.5</v>
      </c>
    </row>
    <row r="17" spans="2:7" ht="12.75" customHeight="1" x14ac:dyDescent="0.3">
      <c r="B17" s="301" t="s">
        <v>409</v>
      </c>
      <c r="C17" s="110">
        <f>C15/C16</f>
        <v>96476.962657325625</v>
      </c>
      <c r="D17" s="110">
        <f>D15/D16</f>
        <v>5214.9709544500338</v>
      </c>
      <c r="E17" s="110">
        <f>E15/E16</f>
        <v>3911.2282158375256</v>
      </c>
      <c r="F17" s="98"/>
      <c r="G17" s="7"/>
    </row>
    <row r="18" spans="2:7" ht="12.75" customHeight="1" x14ac:dyDescent="0.3">
      <c r="B18" s="421" t="s">
        <v>410</v>
      </c>
      <c r="C18" s="416">
        <f>C17/12</f>
        <v>8039.7468881104687</v>
      </c>
      <c r="D18" s="416">
        <f>D17/12</f>
        <v>434.58091287083613</v>
      </c>
      <c r="E18" s="417">
        <f>E17/12</f>
        <v>325.93568465312711</v>
      </c>
      <c r="F18" s="98"/>
      <c r="G18" s="7"/>
    </row>
    <row r="19" spans="2:7" ht="12.75" customHeight="1" x14ac:dyDescent="0.3">
      <c r="B19" s="301" t="s">
        <v>411</v>
      </c>
      <c r="C19" s="308">
        <f>'Anexo IV - ano 1 a 10 - inicial'!C14</f>
        <v>2.5</v>
      </c>
      <c r="D19" s="342">
        <f>'Anexo IV - ano 1 a 10 - inicial'!C19</f>
        <v>500</v>
      </c>
      <c r="E19" s="110">
        <v>45</v>
      </c>
      <c r="F19" s="98"/>
      <c r="G19" s="7"/>
    </row>
    <row r="20" spans="2:7" ht="12.75" customHeight="1" x14ac:dyDescent="0.3">
      <c r="B20" s="301" t="s">
        <v>412</v>
      </c>
      <c r="C20" s="302">
        <f>'Anexo IV - ano 1 a 10 - inicial'!C15</f>
        <v>2</v>
      </c>
      <c r="D20" s="110">
        <f>'Anexo IV - ano 1 a 10 - inicial'!C20</f>
        <v>1</v>
      </c>
      <c r="E20" s="110">
        <v>4</v>
      </c>
      <c r="F20" s="98"/>
      <c r="G20" s="7"/>
    </row>
    <row r="21" spans="2:7" ht="12.75" customHeight="1" x14ac:dyDescent="0.3">
      <c r="B21" s="301" t="s">
        <v>413</v>
      </c>
      <c r="C21" s="302">
        <f>(C18*C19)/(C20*30/'Anexo IV - ano 1 a 10 - inicial'!C24)</f>
        <v>6364.7996197541215</v>
      </c>
      <c r="D21" s="110">
        <f>(D18*D19)/(D20*30/'Anexo IV - ano 1 a 10 - inicial'!C26)</f>
        <v>19845.861687768185</v>
      </c>
      <c r="E21" s="110">
        <f>((E18*E19)/4)/(30/13)</f>
        <v>1588.9364626839947</v>
      </c>
      <c r="F21" s="463"/>
      <c r="G21" s="7"/>
    </row>
    <row r="22" spans="2:7" ht="12.75" customHeight="1" x14ac:dyDescent="0.3">
      <c r="B22" s="301" t="s">
        <v>414</v>
      </c>
      <c r="C22" s="457">
        <f>'Anexo IV - ano 1 a 10 - inicial'!C18</f>
        <v>0.2</v>
      </c>
      <c r="D22" s="457">
        <f>'Anexo IV - ano 1 a 10 - inicial'!C23</f>
        <v>0.1</v>
      </c>
      <c r="E22" s="414">
        <v>0.1</v>
      </c>
      <c r="F22" s="464"/>
      <c r="G22" s="7"/>
    </row>
    <row r="23" spans="2:7" ht="12.75" customHeight="1" x14ac:dyDescent="0.3">
      <c r="B23" s="301" t="s">
        <v>444</v>
      </c>
      <c r="C23" s="110">
        <f>C21*(1+C22)</f>
        <v>7637.7595437049458</v>
      </c>
      <c r="D23" s="110">
        <f>D21*(1+D22)</f>
        <v>21830.447856545004</v>
      </c>
      <c r="E23" s="110">
        <f>E21*(1+E22)</f>
        <v>1747.8301089523943</v>
      </c>
      <c r="F23" s="463"/>
      <c r="G23" s="7"/>
    </row>
    <row r="24" spans="2:7" ht="12.75" customHeight="1" x14ac:dyDescent="0.3">
      <c r="B24" s="423" t="s">
        <v>416</v>
      </c>
      <c r="C24" s="424">
        <f>C23*'Anexo IV - ano 1 a 10 - inicial'!C27</f>
        <v>22.913278631114839</v>
      </c>
      <c r="D24" s="1013"/>
      <c r="E24" s="152"/>
      <c r="F24" s="463"/>
      <c r="G24" s="7"/>
    </row>
    <row r="25" spans="2:7" ht="12.75" customHeight="1" x14ac:dyDescent="0.3">
      <c r="B25" s="426" t="s">
        <v>417</v>
      </c>
      <c r="C25" s="427">
        <f>(C23*'Anexo IV - ano 1 a 10 - inicial'!C28)</f>
        <v>0</v>
      </c>
      <c r="D25" s="1013"/>
      <c r="E25" s="152"/>
      <c r="F25" s="463"/>
      <c r="G25" s="7"/>
    </row>
    <row r="26" spans="2:7" ht="12.75" customHeight="1" x14ac:dyDescent="0.3">
      <c r="B26" s="428" t="s">
        <v>418</v>
      </c>
      <c r="C26" s="429">
        <f>C23*'Anexo IV - ano 1 a 10 - inicial'!C29</f>
        <v>763.77595437049467</v>
      </c>
      <c r="D26" s="1013"/>
      <c r="E26" s="152"/>
      <c r="F26" s="463"/>
      <c r="G26" s="7"/>
    </row>
    <row r="27" spans="2:7" ht="12.75" customHeight="1" x14ac:dyDescent="0.3">
      <c r="B27" s="432" t="s">
        <v>419</v>
      </c>
      <c r="C27" s="433">
        <f>(C23)+C24+C26+C25</f>
        <v>8424.4487767065548</v>
      </c>
      <c r="D27" s="1013"/>
      <c r="E27" s="221"/>
      <c r="F27" s="1025"/>
      <c r="G27" s="1025"/>
    </row>
    <row r="28" spans="2:7" ht="12.75" customHeight="1" x14ac:dyDescent="0.3">
      <c r="B28" s="946" t="str">
        <f>'Anexo IV - ano 11 a 15'!B28</f>
        <v>Área necessária para vias/deslocamento/posteamento (m²/ano)</v>
      </c>
      <c r="C28" s="946"/>
      <c r="D28" s="416">
        <f>(D29+D31+D32+D33+D34+D35+D36+D37)*'Anexo IV - ano 1 a 10 - inicial'!C31</f>
        <v>6134.6347037749056</v>
      </c>
      <c r="E28" s="1021"/>
      <c r="F28" s="98"/>
      <c r="G28" s="7"/>
    </row>
    <row r="29" spans="2:7" ht="12.75" customHeight="1" x14ac:dyDescent="0.3">
      <c r="B29" s="946" t="s">
        <v>420</v>
      </c>
      <c r="C29" s="946"/>
      <c r="D29" s="416">
        <f>D23+E23</f>
        <v>23578.2779654974</v>
      </c>
      <c r="E29" s="1021"/>
      <c r="F29" s="98"/>
      <c r="G29" s="7"/>
    </row>
    <row r="30" spans="2:7" ht="12.75" customHeight="1" x14ac:dyDescent="0.3">
      <c r="B30" s="10" t="str">
        <f>'Anexo IV - ano 1 a 10 - inicial'!B56</f>
        <v>Área pré-embarque (pulmão para estacionamento de caminhões antes da entrada no recinto)</v>
      </c>
      <c r="C30" s="15"/>
      <c r="D30" s="416">
        <f>(D29)*0.2</f>
        <v>4715.65559309948</v>
      </c>
      <c r="E30" s="1021"/>
      <c r="F30" s="98"/>
      <c r="G30" s="7"/>
    </row>
    <row r="31" spans="2:7" ht="12.75" customHeight="1" x14ac:dyDescent="0.3">
      <c r="B31" s="946" t="s">
        <v>422</v>
      </c>
      <c r="C31" s="946"/>
      <c r="D31" s="416">
        <v>0</v>
      </c>
      <c r="E31" s="1021"/>
      <c r="F31" s="98"/>
      <c r="G31" s="7"/>
    </row>
    <row r="32" spans="2:7" ht="12.75" customHeight="1" x14ac:dyDescent="0.3">
      <c r="B32" s="946" t="s">
        <v>423</v>
      </c>
      <c r="C32" s="946"/>
      <c r="D32" s="416">
        <v>0</v>
      </c>
      <c r="E32" s="8"/>
      <c r="F32" s="98"/>
      <c r="G32" s="7"/>
    </row>
    <row r="33" spans="2:5" ht="12.75" customHeight="1" x14ac:dyDescent="0.3">
      <c r="B33" s="946" t="s">
        <v>424</v>
      </c>
      <c r="C33" s="946"/>
      <c r="D33" s="458">
        <f>D23*'Anexo IV - ano 1 a 10 - inicial'!C32</f>
        <v>1091.5223928272503</v>
      </c>
      <c r="E33" s="8"/>
    </row>
    <row r="34" spans="2:5" ht="12.75" customHeight="1" x14ac:dyDescent="0.3">
      <c r="B34" s="946" t="s">
        <v>425</v>
      </c>
      <c r="C34" s="946"/>
      <c r="D34" s="416">
        <f>0.5*D33</f>
        <v>545.76119641362516</v>
      </c>
      <c r="E34" s="8"/>
    </row>
    <row r="35" spans="2:5" ht="12.75" customHeight="1" x14ac:dyDescent="0.3">
      <c r="B35" s="946" t="s">
        <v>426</v>
      </c>
      <c r="C35" s="946"/>
      <c r="D35" s="465">
        <f>D23*'Anexo IV - ano 1 a 10 - inicial'!C33</f>
        <v>4366.0895713090013</v>
      </c>
      <c r="E35" s="8"/>
    </row>
    <row r="36" spans="2:5" ht="12.75" customHeight="1" x14ac:dyDescent="0.3">
      <c r="B36" s="10" t="s">
        <v>439</v>
      </c>
      <c r="C36" s="15"/>
      <c r="D36" s="465">
        <f>'Anexo IV - ano 11 a 15'!D36</f>
        <v>0</v>
      </c>
      <c r="E36" s="8"/>
    </row>
    <row r="37" spans="2:5" ht="12.75" customHeight="1" x14ac:dyDescent="0.3">
      <c r="B37" s="946" t="s">
        <v>400</v>
      </c>
      <c r="C37" s="946"/>
      <c r="D37" s="465">
        <f>D23*'Anexo IV - ano 1 a 10 - inicial'!C34</f>
        <v>1091.5223928272503</v>
      </c>
      <c r="E37" s="8"/>
    </row>
    <row r="38" spans="2:5" ht="12.75" customHeight="1" x14ac:dyDescent="0.35">
      <c r="B38" s="1010" t="s">
        <v>427</v>
      </c>
      <c r="C38" s="1010"/>
      <c r="D38" s="466">
        <f>SUM(D28:D37)</f>
        <v>41523.463815748917</v>
      </c>
      <c r="E38" s="8"/>
    </row>
    <row r="39" spans="2:5" ht="12.75" customHeight="1" x14ac:dyDescent="0.3">
      <c r="B39" s="1019"/>
      <c r="C39" s="1019"/>
      <c r="D39" s="151"/>
      <c r="E39" s="8"/>
    </row>
    <row r="40" spans="2:5" ht="12.75" customHeight="1" x14ac:dyDescent="0.3">
      <c r="B40" s="1020"/>
      <c r="C40" s="1020"/>
      <c r="D40" s="1020"/>
      <c r="E40" s="8"/>
    </row>
    <row r="41" spans="2:5" ht="12.75" customHeight="1" x14ac:dyDescent="0.35">
      <c r="B41" s="441" t="s">
        <v>440</v>
      </c>
      <c r="C41" s="19"/>
      <c r="D41" s="461" t="s">
        <v>236</v>
      </c>
      <c r="E41" s="8"/>
    </row>
    <row r="42" spans="2:5" ht="12.75" customHeight="1" x14ac:dyDescent="0.3">
      <c r="B42" s="443" t="s">
        <v>429</v>
      </c>
      <c r="C42" s="19"/>
      <c r="D42" s="444">
        <v>100</v>
      </c>
      <c r="E42" s="8"/>
    </row>
    <row r="43" spans="2:5" ht="12.75" customHeight="1" x14ac:dyDescent="0.3">
      <c r="B43" s="443" t="s">
        <v>441</v>
      </c>
      <c r="C43" s="445"/>
      <c r="D43" s="444">
        <v>45</v>
      </c>
      <c r="E43" s="8"/>
    </row>
    <row r="44" spans="2:5" ht="12.75" customHeight="1" x14ac:dyDescent="0.3">
      <c r="B44" s="446" t="s">
        <v>431</v>
      </c>
      <c r="C44" s="19"/>
      <c r="D44" s="447">
        <v>15</v>
      </c>
      <c r="E44" s="8"/>
    </row>
    <row r="45" spans="2:5" ht="12.75" customHeight="1" x14ac:dyDescent="0.3">
      <c r="B45" s="446" t="s">
        <v>432</v>
      </c>
      <c r="C45" s="19"/>
      <c r="D45" s="447">
        <f>'Memória-m²_trei_estaç_tel_agua'!W59</f>
        <v>2425</v>
      </c>
      <c r="E45" s="8"/>
    </row>
    <row r="46" spans="2:5" ht="12.75" customHeight="1" x14ac:dyDescent="0.3">
      <c r="B46" s="446" t="s">
        <v>433</v>
      </c>
      <c r="C46" s="19"/>
      <c r="D46" s="462">
        <f>SUM(D42:D45)</f>
        <v>2585</v>
      </c>
      <c r="E46" s="8"/>
    </row>
    <row r="47" spans="2:5" ht="12.75" customHeight="1" x14ac:dyDescent="0.25">
      <c r="B47" s="18"/>
      <c r="C47" s="7"/>
      <c r="D47" s="152"/>
      <c r="E47" s="8"/>
    </row>
    <row r="48" spans="2:5" ht="12.75" customHeight="1" x14ac:dyDescent="0.35">
      <c r="B48" s="454" t="s">
        <v>445</v>
      </c>
      <c r="C48" s="19"/>
      <c r="D48" s="894">
        <f>C27+D38+D46</f>
        <v>52532.912592455468</v>
      </c>
      <c r="E48" s="8"/>
    </row>
  </sheetData>
  <mergeCells count="22">
    <mergeCell ref="B2:C2"/>
    <mergeCell ref="B3:C3"/>
    <mergeCell ref="B4:C4"/>
    <mergeCell ref="B10:B13"/>
    <mergeCell ref="C10:D10"/>
    <mergeCell ref="C11:D11"/>
    <mergeCell ref="C12:D12"/>
    <mergeCell ref="D24:D27"/>
    <mergeCell ref="F27:G27"/>
    <mergeCell ref="B28:C28"/>
    <mergeCell ref="E28:E29"/>
    <mergeCell ref="B29:C29"/>
    <mergeCell ref="E30:E31"/>
    <mergeCell ref="B31:C31"/>
    <mergeCell ref="B32:C32"/>
    <mergeCell ref="B33:C33"/>
    <mergeCell ref="B34:C34"/>
    <mergeCell ref="B35:C35"/>
    <mergeCell ref="B37:C37"/>
    <mergeCell ref="B38:C38"/>
    <mergeCell ref="B39:C39"/>
    <mergeCell ref="B40:D40"/>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B2:H198"/>
  <sheetViews>
    <sheetView tabSelected="1" topLeftCell="C1" workbookViewId="0">
      <selection activeCell="E185" sqref="E185"/>
    </sheetView>
  </sheetViews>
  <sheetFormatPr defaultRowHeight="12.75" customHeight="1" x14ac:dyDescent="0.25"/>
  <cols>
    <col min="1" max="2" width="5" customWidth="1"/>
    <col min="3" max="3" width="95.1796875" customWidth="1"/>
    <col min="4" max="4" width="12.54296875" style="103" customWidth="1"/>
    <col min="5" max="5" width="23" customWidth="1"/>
    <col min="6" max="6" width="29.7265625" customWidth="1"/>
    <col min="7" max="7" width="22.453125" customWidth="1"/>
    <col min="8" max="8" width="18.81640625" customWidth="1"/>
    <col min="9" max="9" width="10" customWidth="1"/>
    <col min="10" max="10" width="17.453125" customWidth="1"/>
    <col min="11" max="11" width="10.26953125" customWidth="1"/>
    <col min="12" max="12" width="10.1796875" customWidth="1"/>
    <col min="13" max="26" width="8.7265625" customWidth="1"/>
    <col min="27" max="1025" width="14.453125" customWidth="1"/>
  </cols>
  <sheetData>
    <row r="2" spans="2:8" ht="12.75" customHeight="1" x14ac:dyDescent="0.35">
      <c r="B2" s="7"/>
      <c r="C2" s="949" t="s">
        <v>446</v>
      </c>
      <c r="D2" s="949"/>
      <c r="E2" s="949"/>
      <c r="F2" s="949"/>
      <c r="G2" s="949"/>
    </row>
    <row r="3" spans="2:8" ht="12.75" customHeight="1" x14ac:dyDescent="0.35">
      <c r="B3" s="7"/>
      <c r="C3" s="950" t="s">
        <v>71</v>
      </c>
      <c r="D3" s="950"/>
      <c r="E3" s="950"/>
      <c r="F3" s="950"/>
      <c r="G3" s="950"/>
    </row>
    <row r="4" spans="2:8" ht="12.75" customHeight="1" x14ac:dyDescent="0.35">
      <c r="B4" s="7"/>
      <c r="C4" s="951"/>
      <c r="D4" s="951"/>
      <c r="E4" s="951"/>
      <c r="F4" s="951"/>
      <c r="G4" s="951"/>
    </row>
    <row r="5" spans="2:8" ht="12.75" customHeight="1" x14ac:dyDescent="0.25">
      <c r="B5" s="7"/>
      <c r="C5" s="7"/>
      <c r="D5" s="104"/>
      <c r="E5" s="7"/>
      <c r="F5" s="7"/>
      <c r="G5" s="7"/>
    </row>
    <row r="6" spans="2:8" ht="12.75" customHeight="1" x14ac:dyDescent="0.25">
      <c r="B6" s="7"/>
      <c r="C6" s="7"/>
      <c r="D6" s="104"/>
      <c r="E6" s="104"/>
      <c r="F6" s="104"/>
      <c r="G6" s="104"/>
    </row>
    <row r="7" spans="2:8" ht="22.9" customHeight="1" x14ac:dyDescent="0.35">
      <c r="B7" s="7"/>
      <c r="C7" s="467" t="s">
        <v>447</v>
      </c>
      <c r="D7" s="104"/>
      <c r="E7" s="104"/>
      <c r="F7" s="104"/>
      <c r="G7" s="104"/>
    </row>
    <row r="8" spans="2:8" ht="12.75" customHeight="1" x14ac:dyDescent="0.35">
      <c r="B8" s="7"/>
      <c r="C8" s="468"/>
      <c r="D8" s="104"/>
      <c r="E8" s="7"/>
      <c r="F8" s="7"/>
      <c r="G8" s="7"/>
    </row>
    <row r="9" spans="2:8" ht="12.75" customHeight="1" x14ac:dyDescent="0.25">
      <c r="B9" s="7"/>
      <c r="C9" s="7"/>
      <c r="D9" s="104"/>
      <c r="E9" s="7"/>
      <c r="F9" s="7"/>
      <c r="G9" s="7"/>
      <c r="H9" s="942">
        <v>2506.86</v>
      </c>
    </row>
    <row r="10" spans="2:8" ht="12.75" customHeight="1" x14ac:dyDescent="0.35">
      <c r="B10" s="469">
        <v>1</v>
      </c>
      <c r="C10" s="1033" t="s">
        <v>448</v>
      </c>
      <c r="D10" s="1033"/>
      <c r="E10" s="1033"/>
      <c r="F10" s="1033"/>
      <c r="G10" s="1033"/>
    </row>
    <row r="11" spans="2:8" ht="12.75" customHeight="1" x14ac:dyDescent="0.25">
      <c r="B11" s="7"/>
      <c r="C11" s="470" t="s">
        <v>449</v>
      </c>
      <c r="D11" s="471" t="s">
        <v>450</v>
      </c>
      <c r="E11" s="471" t="s">
        <v>451</v>
      </c>
      <c r="F11" s="472" t="s">
        <v>452</v>
      </c>
      <c r="G11" s="472" t="s">
        <v>453</v>
      </c>
      <c r="H11" s="472" t="s">
        <v>454</v>
      </c>
    </row>
    <row r="12" spans="2:8" ht="15" customHeight="1" x14ac:dyDescent="0.25">
      <c r="B12" s="7"/>
      <c r="C12" s="42" t="s">
        <v>455</v>
      </c>
      <c r="D12" s="473">
        <v>1</v>
      </c>
      <c r="E12" s="474">
        <v>101985</v>
      </c>
      <c r="F12" s="474">
        <v>104487.86</v>
      </c>
      <c r="G12" s="475">
        <f>D12*F12</f>
        <v>104487.86</v>
      </c>
      <c r="H12" s="475">
        <f t="shared" ref="H12:H18" si="0">G12*10/100</f>
        <v>10448.786</v>
      </c>
    </row>
    <row r="13" spans="2:8" ht="15" customHeight="1" x14ac:dyDescent="0.25">
      <c r="B13" s="7"/>
      <c r="C13" s="42" t="s">
        <v>456</v>
      </c>
      <c r="D13" s="473">
        <v>0</v>
      </c>
      <c r="E13" s="474">
        <v>0</v>
      </c>
      <c r="F13" s="474">
        <v>0</v>
      </c>
      <c r="G13" s="475">
        <f t="shared" ref="G13:G29" si="1">D13*E13</f>
        <v>0</v>
      </c>
      <c r="H13" s="475">
        <f t="shared" si="0"/>
        <v>0</v>
      </c>
    </row>
    <row r="14" spans="2:8" ht="15" customHeight="1" x14ac:dyDescent="0.25">
      <c r="B14" s="7"/>
      <c r="C14" s="42" t="str">
        <f>'Memoria-equipamentoXfuncionario'!D31</f>
        <v>Reach Stacker</v>
      </c>
      <c r="D14" s="473">
        <v>1</v>
      </c>
      <c r="E14" s="476">
        <v>1126791</v>
      </c>
      <c r="F14" s="476">
        <v>1126791</v>
      </c>
      <c r="G14" s="475">
        <f t="shared" si="1"/>
        <v>1126791</v>
      </c>
      <c r="H14" s="475">
        <f t="shared" si="0"/>
        <v>112679.1</v>
      </c>
    </row>
    <row r="15" spans="2:8" ht="15" customHeight="1" x14ac:dyDescent="0.25">
      <c r="B15" s="7"/>
      <c r="C15" s="42" t="str">
        <f>'Memoria-equipamentoXfuncionario'!E31</f>
        <v>Empilhadeira 3t</v>
      </c>
      <c r="D15" s="473">
        <v>3</v>
      </c>
      <c r="E15" s="476">
        <v>120000</v>
      </c>
      <c r="F15" s="476">
        <v>120000</v>
      </c>
      <c r="G15" s="475">
        <f t="shared" si="1"/>
        <v>360000</v>
      </c>
      <c r="H15" s="475">
        <f t="shared" si="0"/>
        <v>36000</v>
      </c>
    </row>
    <row r="16" spans="2:8" ht="15" customHeight="1" x14ac:dyDescent="0.25">
      <c r="B16" s="7"/>
      <c r="C16" s="42" t="str">
        <f>'Memoria-equipamentoXfuncionario'!F31</f>
        <v>Empilhadeira 6t</v>
      </c>
      <c r="D16" s="473">
        <v>1</v>
      </c>
      <c r="E16" s="476">
        <v>516000</v>
      </c>
      <c r="F16" s="476">
        <v>516000</v>
      </c>
      <c r="G16" s="475">
        <f t="shared" si="1"/>
        <v>516000</v>
      </c>
      <c r="H16" s="475">
        <f t="shared" si="0"/>
        <v>51600</v>
      </c>
    </row>
    <row r="17" spans="2:8" ht="15" customHeight="1" x14ac:dyDescent="0.25">
      <c r="B17" s="7"/>
      <c r="C17" s="42" t="str">
        <f>'Memória-manutenção'!H10</f>
        <v>Empilhadeira 7t</v>
      </c>
      <c r="D17" s="473">
        <v>1</v>
      </c>
      <c r="E17" s="476">
        <v>606000</v>
      </c>
      <c r="F17" s="476">
        <v>606000</v>
      </c>
      <c r="G17" s="475">
        <f t="shared" si="1"/>
        <v>606000</v>
      </c>
      <c r="H17" s="475">
        <f t="shared" si="0"/>
        <v>60600</v>
      </c>
    </row>
    <row r="18" spans="2:8" ht="15" customHeight="1" x14ac:dyDescent="0.25">
      <c r="B18" s="7"/>
      <c r="C18" s="42" t="str">
        <f>'Memória-manutenção'!I10</f>
        <v>Empilhadeira 16t</v>
      </c>
      <c r="D18" s="473">
        <v>1</v>
      </c>
      <c r="E18" s="476">
        <v>1124390</v>
      </c>
      <c r="F18" s="476">
        <v>1124390</v>
      </c>
      <c r="G18" s="475">
        <f t="shared" si="1"/>
        <v>1124390</v>
      </c>
      <c r="H18" s="475">
        <f t="shared" si="0"/>
        <v>112439</v>
      </c>
    </row>
    <row r="19" spans="2:8" ht="15" customHeight="1" x14ac:dyDescent="0.25">
      <c r="B19" s="7"/>
      <c r="C19" s="42" t="s">
        <v>457</v>
      </c>
      <c r="D19" s="473">
        <v>4</v>
      </c>
      <c r="E19" s="474">
        <v>2150</v>
      </c>
      <c r="F19" s="474">
        <v>2150</v>
      </c>
      <c r="G19" s="475">
        <f t="shared" si="1"/>
        <v>8600</v>
      </c>
      <c r="H19" s="475">
        <f t="shared" ref="H19:H30" si="2">G19*10/100</f>
        <v>860</v>
      </c>
    </row>
    <row r="20" spans="2:8" ht="15" customHeight="1" x14ac:dyDescent="0.25">
      <c r="B20" s="7"/>
      <c r="C20" s="42" t="s">
        <v>458</v>
      </c>
      <c r="D20" s="473">
        <v>6</v>
      </c>
      <c r="E20" s="476">
        <v>8250</v>
      </c>
      <c r="F20" s="476">
        <v>8250</v>
      </c>
      <c r="G20" s="475">
        <f t="shared" si="1"/>
        <v>49500</v>
      </c>
      <c r="H20" s="475">
        <f t="shared" si="2"/>
        <v>4950</v>
      </c>
    </row>
    <row r="21" spans="2:8" ht="15" customHeight="1" x14ac:dyDescent="0.25">
      <c r="B21" s="7"/>
      <c r="C21" s="42" t="s">
        <v>459</v>
      </c>
      <c r="D21" s="473">
        <v>1</v>
      </c>
      <c r="E21" s="474">
        <v>875</v>
      </c>
      <c r="F21" s="474">
        <v>875</v>
      </c>
      <c r="G21" s="475">
        <f t="shared" si="1"/>
        <v>875</v>
      </c>
      <c r="H21" s="475">
        <f t="shared" si="2"/>
        <v>87.5</v>
      </c>
    </row>
    <row r="22" spans="2:8" ht="15" customHeight="1" x14ac:dyDescent="0.25">
      <c r="B22" s="7"/>
      <c r="C22" s="42" t="s">
        <v>460</v>
      </c>
      <c r="D22" s="473">
        <v>1</v>
      </c>
      <c r="E22" s="476">
        <v>1250</v>
      </c>
      <c r="F22" s="476">
        <v>1250</v>
      </c>
      <c r="G22" s="475">
        <f t="shared" si="1"/>
        <v>1250</v>
      </c>
      <c r="H22" s="475">
        <f t="shared" si="2"/>
        <v>125</v>
      </c>
    </row>
    <row r="23" spans="2:8" ht="15" customHeight="1" x14ac:dyDescent="0.25">
      <c r="B23" s="7"/>
      <c r="C23" s="42" t="s">
        <v>461</v>
      </c>
      <c r="D23" s="473">
        <v>1</v>
      </c>
      <c r="E23" s="476">
        <v>2850</v>
      </c>
      <c r="F23" s="476">
        <v>2850</v>
      </c>
      <c r="G23" s="475">
        <f t="shared" si="1"/>
        <v>2850</v>
      </c>
      <c r="H23" s="475">
        <f t="shared" si="2"/>
        <v>285</v>
      </c>
    </row>
    <row r="24" spans="2:8" ht="15" customHeight="1" x14ac:dyDescent="0.25">
      <c r="B24" s="7"/>
      <c r="C24" s="42" t="s">
        <v>462</v>
      </c>
      <c r="D24" s="473">
        <v>2</v>
      </c>
      <c r="E24" s="476">
        <v>3700</v>
      </c>
      <c r="F24" s="476">
        <v>3700</v>
      </c>
      <c r="G24" s="475">
        <f t="shared" si="1"/>
        <v>7400</v>
      </c>
      <c r="H24" s="475">
        <f t="shared" si="2"/>
        <v>740</v>
      </c>
    </row>
    <row r="25" spans="2:8" ht="15" customHeight="1" x14ac:dyDescent="0.25">
      <c r="B25" s="7"/>
      <c r="C25" s="477" t="s">
        <v>463</v>
      </c>
      <c r="D25" s="473">
        <v>1</v>
      </c>
      <c r="E25" s="476">
        <v>125000</v>
      </c>
      <c r="F25" s="476">
        <v>125000</v>
      </c>
      <c r="G25" s="475">
        <f t="shared" si="1"/>
        <v>125000</v>
      </c>
      <c r="H25" s="475">
        <f t="shared" si="2"/>
        <v>12500</v>
      </c>
    </row>
    <row r="26" spans="2:8" ht="15" customHeight="1" x14ac:dyDescent="0.25">
      <c r="B26" s="7"/>
      <c r="C26" s="477" t="s">
        <v>464</v>
      </c>
      <c r="D26" s="473">
        <v>1</v>
      </c>
      <c r="E26" s="476">
        <v>325000</v>
      </c>
      <c r="F26" s="476">
        <v>325000</v>
      </c>
      <c r="G26" s="475">
        <f t="shared" si="1"/>
        <v>325000</v>
      </c>
      <c r="H26" s="475">
        <f t="shared" si="2"/>
        <v>32500</v>
      </c>
    </row>
    <row r="27" spans="2:8" ht="15" customHeight="1" x14ac:dyDescent="0.25">
      <c r="B27" s="7"/>
      <c r="C27" s="42" t="s">
        <v>465</v>
      </c>
      <c r="D27" s="473">
        <v>1</v>
      </c>
      <c r="E27" s="478">
        <v>86250</v>
      </c>
      <c r="F27" s="478">
        <v>86250</v>
      </c>
      <c r="G27" s="475">
        <f t="shared" si="1"/>
        <v>86250</v>
      </c>
      <c r="H27" s="475">
        <f t="shared" si="2"/>
        <v>8625</v>
      </c>
    </row>
    <row r="28" spans="2:8" ht="15" customHeight="1" x14ac:dyDescent="0.25">
      <c r="B28" s="7"/>
      <c r="C28" s="857" t="s">
        <v>466</v>
      </c>
      <c r="D28" s="895">
        <v>1</v>
      </c>
      <c r="E28" s="859">
        <v>1500000</v>
      </c>
      <c r="F28" s="859">
        <v>1500000</v>
      </c>
      <c r="G28" s="896">
        <f t="shared" si="1"/>
        <v>1500000</v>
      </c>
      <c r="H28" s="896">
        <f t="shared" si="2"/>
        <v>150000</v>
      </c>
    </row>
    <row r="29" spans="2:8" ht="15" customHeight="1" x14ac:dyDescent="0.25">
      <c r="B29" s="7"/>
      <c r="C29" s="42" t="s">
        <v>467</v>
      </c>
      <c r="D29" s="473">
        <v>1</v>
      </c>
      <c r="E29" s="478">
        <v>385000</v>
      </c>
      <c r="F29" s="478">
        <v>385000</v>
      </c>
      <c r="G29" s="475">
        <f t="shared" si="1"/>
        <v>385000</v>
      </c>
      <c r="H29" s="475">
        <f t="shared" si="2"/>
        <v>38500</v>
      </c>
    </row>
    <row r="30" spans="2:8" ht="15" customHeight="1" x14ac:dyDescent="0.25">
      <c r="B30" s="7"/>
      <c r="C30" s="479" t="s">
        <v>468</v>
      </c>
      <c r="D30" s="480">
        <v>1</v>
      </c>
      <c r="E30" s="481"/>
      <c r="F30" s="481"/>
      <c r="G30" s="482"/>
      <c r="H30" s="482">
        <f t="shared" si="2"/>
        <v>0</v>
      </c>
    </row>
    <row r="31" spans="2:8" ht="15" customHeight="1" x14ac:dyDescent="0.35">
      <c r="B31" s="7"/>
      <c r="C31" s="483" t="s">
        <v>265</v>
      </c>
      <c r="D31" s="1037"/>
      <c r="E31" s="1029"/>
      <c r="F31" s="484"/>
      <c r="G31" s="484">
        <f>SUM(G12:G30)</f>
        <v>6329393.8600000003</v>
      </c>
      <c r="H31" s="484">
        <f>SUM(H12:H30)</f>
        <v>632939.38599999994</v>
      </c>
    </row>
    <row r="33" spans="2:7" ht="15" customHeight="1" x14ac:dyDescent="0.3">
      <c r="B33" s="7"/>
      <c r="C33" s="7"/>
      <c r="D33" s="104"/>
      <c r="E33" s="7"/>
      <c r="F33" s="485" t="s">
        <v>469</v>
      </c>
      <c r="G33" s="486">
        <v>0.15</v>
      </c>
    </row>
    <row r="34" spans="2:7" ht="15" customHeight="1" x14ac:dyDescent="0.25">
      <c r="B34" s="7"/>
      <c r="C34" s="7"/>
      <c r="D34" s="104"/>
      <c r="E34" s="7"/>
      <c r="F34" s="309"/>
      <c r="G34" s="309"/>
    </row>
    <row r="35" spans="2:7" ht="12.75" customHeight="1" x14ac:dyDescent="0.35">
      <c r="B35" s="469">
        <v>2</v>
      </c>
      <c r="C35" s="1034" t="s">
        <v>470</v>
      </c>
      <c r="D35" s="1034"/>
      <c r="E35" s="1034"/>
      <c r="F35" s="1034"/>
      <c r="G35" s="1034"/>
    </row>
    <row r="36" spans="2:7" ht="15" customHeight="1" x14ac:dyDescent="0.25">
      <c r="B36" s="7"/>
      <c r="C36" s="487" t="s">
        <v>449</v>
      </c>
      <c r="D36" s="488" t="s">
        <v>471</v>
      </c>
      <c r="E36" s="489" t="s">
        <v>472</v>
      </c>
      <c r="F36" s="489" t="s">
        <v>473</v>
      </c>
      <c r="G36" s="489" t="s">
        <v>474</v>
      </c>
    </row>
    <row r="37" spans="2:7" ht="12.75" customHeight="1" x14ac:dyDescent="0.25">
      <c r="B37" s="7"/>
      <c r="C37" s="491" t="s">
        <v>475</v>
      </c>
      <c r="D37" s="492">
        <f>'Memória-m²_trei_estaç_tel_agua'!I56+'Anexo IV - ano 1 a 10 - inicial'!D66</f>
        <v>1350</v>
      </c>
      <c r="E37" s="736">
        <v>343.75</v>
      </c>
      <c r="F37" s="493">
        <f t="shared" ref="F37:F43" si="3">D37*E37</f>
        <v>464062.5</v>
      </c>
      <c r="G37" s="493">
        <f>F37*5/100</f>
        <v>23203.125</v>
      </c>
    </row>
    <row r="38" spans="2:7" ht="15" customHeight="1" x14ac:dyDescent="0.25">
      <c r="B38" s="7"/>
      <c r="C38" s="491" t="s">
        <v>476</v>
      </c>
      <c r="D38" s="494">
        <f>'Anexo IV - ano 1 a 10 - inicial'!C53-'Anexo IV - ano 1 a 10 - inicial'!C51</f>
        <v>5360.4055761729142</v>
      </c>
      <c r="E38" s="732">
        <v>2544.8000000000002</v>
      </c>
      <c r="F38" s="493">
        <f t="shared" si="3"/>
        <v>13641160.110244833</v>
      </c>
      <c r="G38" s="493">
        <f>F38*5/100</f>
        <v>682058.00551224174</v>
      </c>
    </row>
    <row r="39" spans="2:7" ht="15" customHeight="1" x14ac:dyDescent="0.25">
      <c r="B39" s="7"/>
      <c r="C39" s="491" t="s">
        <v>477</v>
      </c>
      <c r="D39" s="494">
        <f>'Anexo IV - ano 1 a 10 - inicial'!D63</f>
        <v>28822.940926896415</v>
      </c>
      <c r="E39" s="495">
        <v>423.54</v>
      </c>
      <c r="F39" s="493">
        <f t="shared" si="3"/>
        <v>12207668.400177708</v>
      </c>
      <c r="G39" s="493">
        <f>F39*5/100</f>
        <v>610383.42000888544</v>
      </c>
    </row>
    <row r="40" spans="2:7" ht="15" customHeight="1" x14ac:dyDescent="0.25">
      <c r="B40" s="7"/>
      <c r="C40" s="491" t="s">
        <v>417</v>
      </c>
      <c r="D40" s="494">
        <f>'Anexo IV - ano 1 a 10 - inicial'!C51</f>
        <v>0</v>
      </c>
      <c r="E40" s="495">
        <v>8312.5</v>
      </c>
      <c r="F40" s="493">
        <f t="shared" si="3"/>
        <v>0</v>
      </c>
      <c r="G40" s="493">
        <f t="shared" ref="G40" si="4">F40*5/100</f>
        <v>0</v>
      </c>
    </row>
    <row r="41" spans="2:7" ht="15" customHeight="1" x14ac:dyDescent="0.25">
      <c r="B41" s="7"/>
      <c r="C41" s="491" t="s">
        <v>478</v>
      </c>
      <c r="D41" s="494">
        <f>ROUND('Anexo IV - ano 1 a 10 - inicial'!D55/1000,0)</f>
        <v>16</v>
      </c>
      <c r="E41" s="495">
        <v>9312.5</v>
      </c>
      <c r="F41" s="493">
        <f t="shared" si="3"/>
        <v>149000</v>
      </c>
      <c r="G41" s="493">
        <f>F41*5/100</f>
        <v>7450</v>
      </c>
    </row>
    <row r="42" spans="2:7" ht="15" customHeight="1" x14ac:dyDescent="0.25">
      <c r="B42" s="7"/>
      <c r="C42" s="491" t="s">
        <v>479</v>
      </c>
      <c r="D42" s="494">
        <f>('Anexo IV - ano 1 a 10 - inicial'!D70)-D37</f>
        <v>838.25</v>
      </c>
      <c r="E42" s="732">
        <v>2859.63</v>
      </c>
      <c r="F42" s="493">
        <f t="shared" si="3"/>
        <v>2397084.8475000001</v>
      </c>
      <c r="G42" s="493">
        <f>F42*5/100</f>
        <v>119854.242375</v>
      </c>
    </row>
    <row r="43" spans="2:7" ht="15" customHeight="1" x14ac:dyDescent="0.25">
      <c r="B43" s="7"/>
      <c r="C43" s="491" t="s">
        <v>480</v>
      </c>
      <c r="D43" s="494">
        <f>SQRT('Anexo IV - ano 1 a 10 - inicial'!D73)*4</f>
        <v>762.85355347478674</v>
      </c>
      <c r="E43" s="495">
        <v>268.75</v>
      </c>
      <c r="F43" s="493">
        <f t="shared" si="3"/>
        <v>205016.89249634894</v>
      </c>
      <c r="G43" s="493">
        <f>F43*5/100</f>
        <v>10250.844624817448</v>
      </c>
    </row>
    <row r="44" spans="2:7" ht="15" customHeight="1" x14ac:dyDescent="0.25">
      <c r="B44" s="7"/>
      <c r="C44" s="491" t="s">
        <v>481</v>
      </c>
      <c r="D44" s="494">
        <v>1</v>
      </c>
      <c r="E44" s="491"/>
      <c r="F44" s="493">
        <f>SUM(F37:F43)*G51</f>
        <v>5812798.5500837788</v>
      </c>
      <c r="G44" s="493">
        <f>F44*5/100</f>
        <v>290639.92750418896</v>
      </c>
    </row>
    <row r="45" spans="2:7" ht="15" customHeight="1" x14ac:dyDescent="0.25">
      <c r="B45" s="7"/>
      <c r="C45" s="496" t="s">
        <v>482</v>
      </c>
      <c r="D45" s="497">
        <v>1</v>
      </c>
      <c r="E45" s="496"/>
      <c r="F45" s="498">
        <f>SUM(F37:F44)*0.06</f>
        <v>2092607.4780301603</v>
      </c>
      <c r="G45" s="498">
        <f>F45*5/100</f>
        <v>104630.37390150802</v>
      </c>
    </row>
    <row r="46" spans="2:7" ht="15" customHeight="1" x14ac:dyDescent="0.35">
      <c r="B46" s="7"/>
      <c r="C46" s="483" t="s">
        <v>265</v>
      </c>
      <c r="D46" s="499"/>
      <c r="E46" s="500"/>
      <c r="F46" s="501">
        <f>SUM(F37:F45)</f>
        <v>36969398.778532833</v>
      </c>
      <c r="G46" s="501">
        <f>SUM(G37:G45)</f>
        <v>1848469.9389266416</v>
      </c>
    </row>
    <row r="47" spans="2:7" ht="12.75" customHeight="1" x14ac:dyDescent="0.25">
      <c r="B47" s="7"/>
      <c r="C47" s="729" t="s">
        <v>483</v>
      </c>
      <c r="D47" s="502"/>
      <c r="E47" s="503"/>
      <c r="F47" s="503"/>
      <c r="G47" s="503"/>
    </row>
    <row r="48" spans="2:7" ht="12.75" customHeight="1" x14ac:dyDescent="0.25">
      <c r="B48" s="7"/>
      <c r="C48" s="504" t="s">
        <v>484</v>
      </c>
      <c r="D48" s="730">
        <v>1272.49</v>
      </c>
      <c r="E48" s="503"/>
      <c r="F48" s="503"/>
      <c r="G48" s="503"/>
    </row>
    <row r="49" spans="2:8" ht="12.75" customHeight="1" x14ac:dyDescent="0.25">
      <c r="B49" s="7"/>
      <c r="C49" s="505" t="s">
        <v>485</v>
      </c>
      <c r="D49" s="731">
        <v>2859.63</v>
      </c>
      <c r="E49" s="503"/>
      <c r="F49" s="503"/>
      <c r="G49" s="503"/>
    </row>
    <row r="50" spans="2:8" ht="12.75" customHeight="1" x14ac:dyDescent="0.25">
      <c r="B50" s="7"/>
      <c r="C50" s="735"/>
      <c r="D50" s="507"/>
      <c r="E50" s="503"/>
      <c r="F50" s="503"/>
      <c r="G50" s="503"/>
    </row>
    <row r="51" spans="2:8" ht="12.75" customHeight="1" x14ac:dyDescent="0.3">
      <c r="B51" s="7"/>
      <c r="C51" s="506"/>
      <c r="D51" s="507"/>
      <c r="E51" s="503"/>
      <c r="F51" s="485" t="s">
        <v>486</v>
      </c>
      <c r="G51" s="508">
        <v>0.2</v>
      </c>
    </row>
    <row r="52" spans="2:8" ht="12.75" customHeight="1" x14ac:dyDescent="0.25">
      <c r="B52" s="7"/>
      <c r="C52" s="509" t="s">
        <v>487</v>
      </c>
      <c r="D52" s="510">
        <v>3</v>
      </c>
      <c r="E52" s="503"/>
      <c r="F52" s="503"/>
      <c r="G52" s="503"/>
    </row>
    <row r="53" spans="2:8" ht="12.75" customHeight="1" x14ac:dyDescent="0.25">
      <c r="B53" s="7"/>
      <c r="C53" s="330" t="s">
        <v>488</v>
      </c>
      <c r="D53" s="511">
        <v>1</v>
      </c>
      <c r="E53" s="677">
        <v>1.0245409999999999</v>
      </c>
      <c r="F53" s="7"/>
      <c r="G53" s="7"/>
    </row>
    <row r="54" spans="2:8" ht="15.75" customHeight="1" x14ac:dyDescent="0.35">
      <c r="B54" s="469">
        <v>3</v>
      </c>
      <c r="C54" s="1036" t="s">
        <v>489</v>
      </c>
      <c r="D54" s="1036"/>
      <c r="E54" s="1036"/>
      <c r="F54" s="1036"/>
      <c r="G54" s="1036"/>
      <c r="H54" s="941"/>
    </row>
    <row r="55" spans="2:8" ht="12.75" customHeight="1" x14ac:dyDescent="0.25">
      <c r="B55" s="7"/>
      <c r="C55" s="470" t="s">
        <v>449</v>
      </c>
      <c r="D55" s="471" t="s">
        <v>450</v>
      </c>
      <c r="E55" s="471" t="s">
        <v>451</v>
      </c>
      <c r="F55" s="472" t="s">
        <v>452</v>
      </c>
      <c r="G55" s="472" t="s">
        <v>453</v>
      </c>
      <c r="H55" s="472" t="s">
        <v>454</v>
      </c>
    </row>
    <row r="56" spans="2:8" ht="15" customHeight="1" x14ac:dyDescent="0.25">
      <c r="B56" s="7"/>
      <c r="C56" s="42" t="s">
        <v>490</v>
      </c>
      <c r="D56" s="473">
        <v>4</v>
      </c>
      <c r="E56" s="478">
        <f>1550</f>
        <v>1550</v>
      </c>
      <c r="F56" s="478">
        <f>E56*$E$53</f>
        <v>1588.03855</v>
      </c>
      <c r="G56" s="512">
        <f t="shared" ref="G56:G70" si="5">D56*F56</f>
        <v>6352.1541999999999</v>
      </c>
      <c r="H56" s="512">
        <f t="shared" ref="H56:H65" si="6">G56*10/100</f>
        <v>635.21541999999999</v>
      </c>
    </row>
    <row r="57" spans="2:8" ht="15" customHeight="1" x14ac:dyDescent="0.25">
      <c r="B57" s="7"/>
      <c r="C57" s="42" t="s">
        <v>491</v>
      </c>
      <c r="D57" s="513">
        <v>4</v>
      </c>
      <c r="E57" s="478">
        <v>687</v>
      </c>
      <c r="F57" s="478">
        <f t="shared" ref="F57:F70" si="7">E57*$E$53</f>
        <v>703.85966699999994</v>
      </c>
      <c r="G57" s="512">
        <f t="shared" si="5"/>
        <v>2815.4386679999998</v>
      </c>
      <c r="H57" s="512">
        <f t="shared" si="6"/>
        <v>281.54386679999993</v>
      </c>
    </row>
    <row r="58" spans="2:8" ht="15" customHeight="1" x14ac:dyDescent="0.25">
      <c r="B58" s="7"/>
      <c r="C58" s="42" t="s">
        <v>492</v>
      </c>
      <c r="D58" s="473">
        <v>1</v>
      </c>
      <c r="E58" s="478">
        <v>950</v>
      </c>
      <c r="F58" s="478">
        <f t="shared" si="7"/>
        <v>973.31394999999998</v>
      </c>
      <c r="G58" s="512">
        <f t="shared" si="5"/>
        <v>973.31394999999998</v>
      </c>
      <c r="H58" s="512">
        <f t="shared" si="6"/>
        <v>97.331394999999986</v>
      </c>
    </row>
    <row r="59" spans="2:8" ht="15" customHeight="1" x14ac:dyDescent="0.25">
      <c r="B59" s="7"/>
      <c r="C59" s="42" t="s">
        <v>493</v>
      </c>
      <c r="D59" s="473">
        <v>4</v>
      </c>
      <c r="E59" s="478">
        <v>472.47</v>
      </c>
      <c r="F59" s="478">
        <f t="shared" si="7"/>
        <v>484.06488626999999</v>
      </c>
      <c r="G59" s="512">
        <f t="shared" si="5"/>
        <v>1936.25954508</v>
      </c>
      <c r="H59" s="512">
        <f t="shared" si="6"/>
        <v>193.62595450800001</v>
      </c>
    </row>
    <row r="60" spans="2:8" ht="15" customHeight="1" x14ac:dyDescent="0.25">
      <c r="B60" s="7"/>
      <c r="C60" s="42" t="s">
        <v>494</v>
      </c>
      <c r="D60" s="473">
        <v>1</v>
      </c>
      <c r="E60" s="478">
        <v>700</v>
      </c>
      <c r="F60" s="478">
        <f t="shared" si="7"/>
        <v>717.17869999999994</v>
      </c>
      <c r="G60" s="512">
        <f t="shared" si="5"/>
        <v>717.17869999999994</v>
      </c>
      <c r="H60" s="512">
        <f t="shared" si="6"/>
        <v>71.717869999999991</v>
      </c>
    </row>
    <row r="61" spans="2:8" ht="15" customHeight="1" x14ac:dyDescent="0.25">
      <c r="B61" s="7"/>
      <c r="C61" s="42" t="s">
        <v>495</v>
      </c>
      <c r="D61" s="473">
        <v>4</v>
      </c>
      <c r="E61" s="478">
        <v>1877.25</v>
      </c>
      <c r="F61" s="478">
        <f t="shared" si="7"/>
        <v>1923.3195922499999</v>
      </c>
      <c r="G61" s="512">
        <f t="shared" si="5"/>
        <v>7693.2783689999997</v>
      </c>
      <c r="H61" s="512">
        <f t="shared" si="6"/>
        <v>769.32783689999997</v>
      </c>
    </row>
    <row r="62" spans="2:8" ht="15" customHeight="1" x14ac:dyDescent="0.25">
      <c r="B62" s="7"/>
      <c r="C62" s="42" t="s">
        <v>496</v>
      </c>
      <c r="D62" s="513">
        <v>4</v>
      </c>
      <c r="E62" s="478">
        <v>318</v>
      </c>
      <c r="F62" s="478">
        <f t="shared" si="7"/>
        <v>325.80403799999999</v>
      </c>
      <c r="G62" s="512">
        <f t="shared" si="5"/>
        <v>1303.216152</v>
      </c>
      <c r="H62" s="512">
        <f t="shared" si="6"/>
        <v>130.3216152</v>
      </c>
    </row>
    <row r="63" spans="2:8" ht="15" customHeight="1" x14ac:dyDescent="0.25">
      <c r="B63" s="7"/>
      <c r="C63" s="42" t="s">
        <v>497</v>
      </c>
      <c r="D63" s="473">
        <v>1</v>
      </c>
      <c r="E63" s="478">
        <v>1668.54</v>
      </c>
      <c r="F63" s="478">
        <f t="shared" si="7"/>
        <v>1709.4876401399999</v>
      </c>
      <c r="G63" s="512">
        <f t="shared" si="5"/>
        <v>1709.4876401399999</v>
      </c>
      <c r="H63" s="512">
        <f t="shared" si="6"/>
        <v>170.94876401400001</v>
      </c>
    </row>
    <row r="64" spans="2:8" ht="15" customHeight="1" x14ac:dyDescent="0.25">
      <c r="B64" s="7"/>
      <c r="C64" s="42" t="s">
        <v>498</v>
      </c>
      <c r="D64" s="473">
        <v>1</v>
      </c>
      <c r="E64" s="478">
        <v>683</v>
      </c>
      <c r="F64" s="478">
        <f t="shared" si="7"/>
        <v>699.76150299999995</v>
      </c>
      <c r="G64" s="512">
        <f t="shared" si="5"/>
        <v>699.76150299999995</v>
      </c>
      <c r="H64" s="512">
        <f t="shared" si="6"/>
        <v>69.976150299999986</v>
      </c>
    </row>
    <row r="65" spans="2:8" ht="15" customHeight="1" x14ac:dyDescent="0.25">
      <c r="B65" s="7"/>
      <c r="C65" s="42" t="s">
        <v>499</v>
      </c>
      <c r="D65" s="473">
        <v>1</v>
      </c>
      <c r="E65" s="478">
        <v>500</v>
      </c>
      <c r="F65" s="478">
        <f t="shared" si="7"/>
        <v>512.27049999999997</v>
      </c>
      <c r="G65" s="512">
        <f t="shared" si="5"/>
        <v>512.27049999999997</v>
      </c>
      <c r="H65" s="512">
        <f t="shared" si="6"/>
        <v>51.227049999999998</v>
      </c>
    </row>
    <row r="66" spans="2:8" ht="15" customHeight="1" x14ac:dyDescent="0.25">
      <c r="B66" s="7"/>
      <c r="C66" s="42" t="s">
        <v>500</v>
      </c>
      <c r="D66" s="473">
        <v>1</v>
      </c>
      <c r="E66" s="478">
        <v>4885.49</v>
      </c>
      <c r="F66" s="478">
        <f t="shared" si="7"/>
        <v>5005.3848100899995</v>
      </c>
      <c r="G66" s="512">
        <f t="shared" si="5"/>
        <v>5005.3848100899995</v>
      </c>
      <c r="H66" s="512">
        <f t="shared" ref="H66:H71" si="8">G66*10/100</f>
        <v>500.53848100899995</v>
      </c>
    </row>
    <row r="67" spans="2:8" ht="15" customHeight="1" x14ac:dyDescent="0.25">
      <c r="B67" s="7"/>
      <c r="C67" s="42" t="s">
        <v>501</v>
      </c>
      <c r="D67" s="514">
        <v>1</v>
      </c>
      <c r="E67" s="478">
        <v>900</v>
      </c>
      <c r="F67" s="478">
        <f t="shared" si="7"/>
        <v>922.0868999999999</v>
      </c>
      <c r="G67" s="512">
        <f t="shared" si="5"/>
        <v>922.0868999999999</v>
      </c>
      <c r="H67" s="512">
        <f>G67*10/100</f>
        <v>92.20868999999999</v>
      </c>
    </row>
    <row r="68" spans="2:8" ht="15" customHeight="1" x14ac:dyDescent="0.25">
      <c r="B68" s="7"/>
      <c r="C68" s="42" t="s">
        <v>502</v>
      </c>
      <c r="D68" s="515">
        <f>'Anexo IV - ano 1 a 10 - inicial'!D67+'Anexo IV - ano 1 a 10 - inicial'!D68</f>
        <v>60</v>
      </c>
      <c r="E68" s="478">
        <v>325</v>
      </c>
      <c r="F68" s="478">
        <f t="shared" si="7"/>
        <v>332.97582499999999</v>
      </c>
      <c r="G68" s="512">
        <f t="shared" si="5"/>
        <v>19978.549500000001</v>
      </c>
      <c r="H68" s="512">
        <f>G68*10/100</f>
        <v>1997.8549499999999</v>
      </c>
    </row>
    <row r="69" spans="2:8" ht="15" customHeight="1" x14ac:dyDescent="0.25">
      <c r="B69" s="7"/>
      <c r="C69" s="42" t="s">
        <v>503</v>
      </c>
      <c r="D69" s="513">
        <v>4</v>
      </c>
      <c r="E69" s="478">
        <v>320</v>
      </c>
      <c r="F69" s="478">
        <f t="shared" si="7"/>
        <v>327.85311999999999</v>
      </c>
      <c r="G69" s="512">
        <f t="shared" si="5"/>
        <v>1311.41248</v>
      </c>
      <c r="H69" s="512">
        <f>G69*10/100</f>
        <v>131.14124799999999</v>
      </c>
    </row>
    <row r="70" spans="2:8" ht="15" customHeight="1" x14ac:dyDescent="0.25">
      <c r="B70" s="7"/>
      <c r="C70" s="42" t="s">
        <v>504</v>
      </c>
      <c r="D70" s="473">
        <v>1</v>
      </c>
      <c r="E70" s="478">
        <v>3340</v>
      </c>
      <c r="F70" s="478">
        <f t="shared" si="7"/>
        <v>3421.9669399999998</v>
      </c>
      <c r="G70" s="512">
        <f t="shared" si="5"/>
        <v>3421.9669399999998</v>
      </c>
      <c r="H70" s="512">
        <f>G70*10/100</f>
        <v>342.19669399999998</v>
      </c>
    </row>
    <row r="71" spans="2:8" ht="15" customHeight="1" x14ac:dyDescent="0.25">
      <c r="B71" s="7"/>
      <c r="C71" s="42" t="s">
        <v>505</v>
      </c>
      <c r="D71" s="473"/>
      <c r="E71" s="473"/>
      <c r="F71" s="478"/>
      <c r="G71" s="512">
        <f>SUM(G56:G70)*G75</f>
        <v>8302.7639785964984</v>
      </c>
      <c r="H71" s="512">
        <f t="shared" si="8"/>
        <v>830.27639785964993</v>
      </c>
    </row>
    <row r="72" spans="2:8" ht="15" customHeight="1" x14ac:dyDescent="0.25">
      <c r="B72" s="7"/>
      <c r="C72" s="516"/>
      <c r="D72" s="480"/>
      <c r="E72" s="480"/>
      <c r="F72" s="481"/>
      <c r="G72" s="517"/>
      <c r="H72" s="517"/>
    </row>
    <row r="73" spans="2:8" ht="15" customHeight="1" x14ac:dyDescent="0.35">
      <c r="B73" s="7"/>
      <c r="C73" s="483" t="s">
        <v>265</v>
      </c>
      <c r="D73" s="1029"/>
      <c r="E73" s="1029"/>
      <c r="F73" s="346"/>
      <c r="G73" s="484">
        <f>SUM(G56:G72)</f>
        <v>63654.523835906497</v>
      </c>
      <c r="H73" s="484">
        <f>SUM(H56:H72)</f>
        <v>6365.4523835906493</v>
      </c>
    </row>
    <row r="74" spans="2:8" ht="12.75" customHeight="1" x14ac:dyDescent="0.25">
      <c r="B74" s="7"/>
      <c r="C74" s="735"/>
      <c r="D74" s="104"/>
      <c r="E74" s="7"/>
      <c r="F74" s="309"/>
      <c r="G74" s="309"/>
    </row>
    <row r="75" spans="2:8" ht="12.75" customHeight="1" x14ac:dyDescent="0.3">
      <c r="B75" s="7"/>
      <c r="C75" s="7"/>
      <c r="D75" s="104"/>
      <c r="E75" s="7"/>
      <c r="F75" s="485" t="s">
        <v>506</v>
      </c>
      <c r="G75" s="486">
        <v>0.15</v>
      </c>
    </row>
    <row r="76" spans="2:8" ht="12.75" customHeight="1" x14ac:dyDescent="0.25">
      <c r="B76" s="7"/>
      <c r="C76" s="7"/>
      <c r="D76" s="104"/>
      <c r="E76" s="7"/>
      <c r="F76" s="309"/>
      <c r="G76" s="309"/>
    </row>
    <row r="77" spans="2:8" ht="12.75" customHeight="1" x14ac:dyDescent="0.25">
      <c r="B77" s="7"/>
      <c r="C77" s="7"/>
      <c r="D77" s="104"/>
      <c r="E77" s="7"/>
      <c r="F77" s="7"/>
      <c r="G77" s="7"/>
    </row>
    <row r="78" spans="2:8" ht="12.75" customHeight="1" x14ac:dyDescent="0.35">
      <c r="B78" s="469">
        <v>4</v>
      </c>
      <c r="C78" s="1032" t="s">
        <v>507</v>
      </c>
      <c r="D78" s="1032"/>
      <c r="E78" s="1032"/>
      <c r="F78" s="1032"/>
      <c r="G78" s="1032"/>
    </row>
    <row r="79" spans="2:8" ht="12.75" customHeight="1" x14ac:dyDescent="0.25">
      <c r="B79" s="7"/>
      <c r="C79" s="470" t="s">
        <v>449</v>
      </c>
      <c r="D79" s="471" t="s">
        <v>450</v>
      </c>
      <c r="E79" s="471" t="s">
        <v>451</v>
      </c>
      <c r="F79" s="472" t="s">
        <v>452</v>
      </c>
      <c r="G79" s="472" t="s">
        <v>453</v>
      </c>
      <c r="H79" s="472" t="s">
        <v>454</v>
      </c>
    </row>
    <row r="80" spans="2:8" ht="12.75" customHeight="1" x14ac:dyDescent="0.25">
      <c r="B80" s="7"/>
      <c r="C80" s="42" t="s">
        <v>490</v>
      </c>
      <c r="D80" s="473">
        <v>15</v>
      </c>
      <c r="E80" s="478">
        <v>1550</v>
      </c>
      <c r="F80" s="478">
        <f>E80*$E$53</f>
        <v>1588.03855</v>
      </c>
      <c r="G80" s="512">
        <f t="shared" ref="G80:G98" si="9">D80*F80</f>
        <v>23820.578249999999</v>
      </c>
      <c r="H80" s="512">
        <f t="shared" ref="H80:H85" si="10">G80*10/100</f>
        <v>2382.0578249999999</v>
      </c>
    </row>
    <row r="81" spans="2:8" ht="15" customHeight="1" x14ac:dyDescent="0.25">
      <c r="B81" s="7"/>
      <c r="C81" s="42" t="s">
        <v>508</v>
      </c>
      <c r="D81" s="515">
        <v>8</v>
      </c>
      <c r="E81" s="478">
        <v>934.12</v>
      </c>
      <c r="F81" s="478">
        <f t="shared" ref="F81:F98" si="11">E81*$E$53</f>
        <v>957.04423891999988</v>
      </c>
      <c r="G81" s="512">
        <f t="shared" si="9"/>
        <v>7656.3539113599991</v>
      </c>
      <c r="H81" s="512">
        <f t="shared" si="10"/>
        <v>765.63539113599995</v>
      </c>
    </row>
    <row r="82" spans="2:8" ht="15" customHeight="1" x14ac:dyDescent="0.25">
      <c r="B82" s="7"/>
      <c r="C82" s="42" t="s">
        <v>491</v>
      </c>
      <c r="D82" s="515">
        <v>15</v>
      </c>
      <c r="E82" s="478">
        <v>687.87</v>
      </c>
      <c r="F82" s="478">
        <f t="shared" si="11"/>
        <v>704.7510176699999</v>
      </c>
      <c r="G82" s="512">
        <f t="shared" si="9"/>
        <v>10571.265265049999</v>
      </c>
      <c r="H82" s="512">
        <f t="shared" si="10"/>
        <v>1057.1265265049997</v>
      </c>
    </row>
    <row r="83" spans="2:8" ht="15" customHeight="1" x14ac:dyDescent="0.25">
      <c r="B83" s="7"/>
      <c r="C83" s="42" t="s">
        <v>492</v>
      </c>
      <c r="D83" s="518">
        <v>2</v>
      </c>
      <c r="E83" s="478">
        <v>950</v>
      </c>
      <c r="F83" s="478">
        <f t="shared" si="11"/>
        <v>973.31394999999998</v>
      </c>
      <c r="G83" s="512">
        <f t="shared" si="9"/>
        <v>1946.6279</v>
      </c>
      <c r="H83" s="512">
        <f t="shared" si="10"/>
        <v>194.66278999999997</v>
      </c>
    </row>
    <row r="84" spans="2:8" ht="15" customHeight="1" x14ac:dyDescent="0.25">
      <c r="B84" s="7"/>
      <c r="C84" s="42" t="s">
        <v>493</v>
      </c>
      <c r="D84" s="519">
        <v>21</v>
      </c>
      <c r="E84" s="916">
        <v>472.47</v>
      </c>
      <c r="F84" s="478">
        <f t="shared" si="11"/>
        <v>484.06488626999999</v>
      </c>
      <c r="G84" s="512">
        <f t="shared" si="9"/>
        <v>10165.36261167</v>
      </c>
      <c r="H84" s="917">
        <f t="shared" si="10"/>
        <v>1016.536261167</v>
      </c>
    </row>
    <row r="85" spans="2:8" ht="15" customHeight="1" x14ac:dyDescent="0.25">
      <c r="B85" s="7"/>
      <c r="C85" s="42" t="s">
        <v>509</v>
      </c>
      <c r="D85" s="473">
        <v>10</v>
      </c>
      <c r="E85" s="478">
        <v>430</v>
      </c>
      <c r="F85" s="478">
        <f t="shared" si="11"/>
        <v>440.55262999999997</v>
      </c>
      <c r="G85" s="512">
        <f t="shared" si="9"/>
        <v>4405.5262999999995</v>
      </c>
      <c r="H85" s="512">
        <f t="shared" si="10"/>
        <v>440.55262999999991</v>
      </c>
    </row>
    <row r="86" spans="2:8" ht="15" customHeight="1" x14ac:dyDescent="0.25">
      <c r="B86" s="7"/>
      <c r="C86" s="42" t="s">
        <v>494</v>
      </c>
      <c r="D86" s="473">
        <v>0</v>
      </c>
      <c r="E86" s="478">
        <v>0</v>
      </c>
      <c r="F86" s="478">
        <f t="shared" si="11"/>
        <v>0</v>
      </c>
      <c r="G86" s="512">
        <f t="shared" si="9"/>
        <v>0</v>
      </c>
      <c r="H86" s="512">
        <f t="shared" ref="H86:H99" si="12">G86*10/100</f>
        <v>0</v>
      </c>
    </row>
    <row r="87" spans="2:8" ht="15" customHeight="1" x14ac:dyDescent="0.25">
      <c r="B87" s="7"/>
      <c r="C87" s="42" t="s">
        <v>495</v>
      </c>
      <c r="D87" s="473">
        <v>16</v>
      </c>
      <c r="E87" s="478">
        <v>1877.25</v>
      </c>
      <c r="F87" s="478">
        <f t="shared" si="11"/>
        <v>1923.3195922499999</v>
      </c>
      <c r="G87" s="512">
        <f t="shared" si="9"/>
        <v>30773.113475999999</v>
      </c>
      <c r="H87" s="512">
        <f t="shared" ref="H87:H95" si="13">G87*10/100</f>
        <v>3077.3113475999999</v>
      </c>
    </row>
    <row r="88" spans="2:8" ht="15" customHeight="1" x14ac:dyDescent="0.25">
      <c r="B88" s="7"/>
      <c r="C88" s="42" t="s">
        <v>496</v>
      </c>
      <c r="D88" s="520">
        <f>D82</f>
        <v>15</v>
      </c>
      <c r="E88" s="478">
        <v>318</v>
      </c>
      <c r="F88" s="478">
        <f t="shared" si="11"/>
        <v>325.80403799999999</v>
      </c>
      <c r="G88" s="512">
        <f t="shared" si="9"/>
        <v>4887.0605699999996</v>
      </c>
      <c r="H88" s="512">
        <f t="shared" si="13"/>
        <v>488.70605699999999</v>
      </c>
    </row>
    <row r="89" spans="2:8" ht="15" customHeight="1" x14ac:dyDescent="0.25">
      <c r="B89" s="7"/>
      <c r="C89" s="42" t="s">
        <v>510</v>
      </c>
      <c r="D89" s="473">
        <v>2</v>
      </c>
      <c r="E89" s="478">
        <v>1668.54</v>
      </c>
      <c r="F89" s="478">
        <f t="shared" si="11"/>
        <v>1709.4876401399999</v>
      </c>
      <c r="G89" s="512">
        <f t="shared" si="9"/>
        <v>3418.9752802799999</v>
      </c>
      <c r="H89" s="512">
        <f t="shared" si="13"/>
        <v>341.89752802800001</v>
      </c>
    </row>
    <row r="90" spans="2:8" ht="15" customHeight="1" x14ac:dyDescent="0.25">
      <c r="B90" s="7"/>
      <c r="C90" s="42" t="s">
        <v>511</v>
      </c>
      <c r="D90" s="473">
        <v>1</v>
      </c>
      <c r="E90" s="478">
        <v>4885.49</v>
      </c>
      <c r="F90" s="478">
        <f t="shared" si="11"/>
        <v>5005.3848100899995</v>
      </c>
      <c r="G90" s="512">
        <f t="shared" si="9"/>
        <v>5005.3848100899995</v>
      </c>
      <c r="H90" s="512">
        <f t="shared" si="13"/>
        <v>500.53848100899995</v>
      </c>
    </row>
    <row r="91" spans="2:8" ht="15" customHeight="1" x14ac:dyDescent="0.25">
      <c r="B91" s="7"/>
      <c r="C91" s="42" t="s">
        <v>498</v>
      </c>
      <c r="D91" s="473">
        <v>1</v>
      </c>
      <c r="E91" s="478">
        <v>683</v>
      </c>
      <c r="F91" s="478">
        <f t="shared" si="11"/>
        <v>699.76150299999995</v>
      </c>
      <c r="G91" s="512">
        <f t="shared" si="9"/>
        <v>699.76150299999995</v>
      </c>
      <c r="H91" s="512">
        <f t="shared" si="13"/>
        <v>69.976150299999986</v>
      </c>
    </row>
    <row r="92" spans="2:8" ht="15" customHeight="1" x14ac:dyDescent="0.25">
      <c r="B92" s="7"/>
      <c r="C92" s="42" t="s">
        <v>499</v>
      </c>
      <c r="D92" s="473">
        <v>2</v>
      </c>
      <c r="E92" s="478">
        <v>500</v>
      </c>
      <c r="F92" s="478">
        <f t="shared" si="11"/>
        <v>512.27049999999997</v>
      </c>
      <c r="G92" s="512">
        <f t="shared" si="9"/>
        <v>1024.5409999999999</v>
      </c>
      <c r="H92" s="512">
        <f t="shared" si="13"/>
        <v>102.4541</v>
      </c>
    </row>
    <row r="93" spans="2:8" ht="15" customHeight="1" x14ac:dyDescent="0.25">
      <c r="B93" s="7"/>
      <c r="C93" s="42" t="s">
        <v>501</v>
      </c>
      <c r="D93" s="473">
        <v>4</v>
      </c>
      <c r="E93" s="478">
        <v>900</v>
      </c>
      <c r="F93" s="478">
        <f t="shared" si="11"/>
        <v>922.0868999999999</v>
      </c>
      <c r="G93" s="512">
        <f t="shared" si="9"/>
        <v>3688.3475999999996</v>
      </c>
      <c r="H93" s="512">
        <f t="shared" si="13"/>
        <v>368.83475999999996</v>
      </c>
    </row>
    <row r="94" spans="2:8" ht="15" customHeight="1" x14ac:dyDescent="0.25">
      <c r="B94" s="7"/>
      <c r="C94" s="42" t="s">
        <v>500</v>
      </c>
      <c r="D94" s="473">
        <v>2</v>
      </c>
      <c r="E94" s="478">
        <v>4885.49</v>
      </c>
      <c r="F94" s="478">
        <f t="shared" si="11"/>
        <v>5005.3848100899995</v>
      </c>
      <c r="G94" s="512">
        <f t="shared" si="9"/>
        <v>10010.769620179999</v>
      </c>
      <c r="H94" s="512">
        <f t="shared" si="13"/>
        <v>1001.0769620179999</v>
      </c>
    </row>
    <row r="95" spans="2:8" ht="15" customHeight="1" x14ac:dyDescent="0.25">
      <c r="B95" s="7"/>
      <c r="C95" s="42" t="s">
        <v>512</v>
      </c>
      <c r="D95" s="473">
        <v>6</v>
      </c>
      <c r="E95" s="478">
        <v>1196.55</v>
      </c>
      <c r="F95" s="478">
        <f t="shared" si="11"/>
        <v>1225.9145335499998</v>
      </c>
      <c r="G95" s="512">
        <f t="shared" si="9"/>
        <v>7355.4872012999986</v>
      </c>
      <c r="H95" s="512">
        <f t="shared" si="13"/>
        <v>735.54872012999988</v>
      </c>
    </row>
    <row r="96" spans="2:8" ht="15" customHeight="1" x14ac:dyDescent="0.25">
      <c r="B96" s="7"/>
      <c r="C96" s="42" t="s">
        <v>513</v>
      </c>
      <c r="D96" s="515">
        <f>'Anexo IV - ano 1 a 10 - inicial'!D69</f>
        <v>2028.25</v>
      </c>
      <c r="E96" s="478">
        <f>F68</f>
        <v>332.97582499999999</v>
      </c>
      <c r="F96" s="478">
        <f t="shared" si="11"/>
        <v>341.14738472132495</v>
      </c>
      <c r="G96" s="512">
        <f t="shared" si="9"/>
        <v>691932.18306102732</v>
      </c>
      <c r="H96" s="512">
        <f t="shared" si="12"/>
        <v>69193.218306102732</v>
      </c>
    </row>
    <row r="97" spans="2:8" ht="15" customHeight="1" x14ac:dyDescent="0.25">
      <c r="B97" s="7"/>
      <c r="C97" s="42" t="s">
        <v>503</v>
      </c>
      <c r="D97" s="515">
        <v>8</v>
      </c>
      <c r="E97" s="478">
        <v>320</v>
      </c>
      <c r="F97" s="478">
        <f t="shared" si="11"/>
        <v>327.85311999999999</v>
      </c>
      <c r="G97" s="512">
        <f t="shared" si="9"/>
        <v>2622.8249599999999</v>
      </c>
      <c r="H97" s="512">
        <f>G97*10/100</f>
        <v>262.28249599999998</v>
      </c>
    </row>
    <row r="98" spans="2:8" ht="15" customHeight="1" x14ac:dyDescent="0.25">
      <c r="B98" s="7"/>
      <c r="C98" s="42" t="s">
        <v>504</v>
      </c>
      <c r="D98" s="473">
        <v>5</v>
      </c>
      <c r="E98" s="478">
        <v>3340</v>
      </c>
      <c r="F98" s="478">
        <f t="shared" si="11"/>
        <v>3421.9669399999998</v>
      </c>
      <c r="G98" s="512">
        <f t="shared" si="9"/>
        <v>17109.834699999999</v>
      </c>
      <c r="H98" s="512">
        <f>G98*10/100</f>
        <v>1710.9834700000001</v>
      </c>
    </row>
    <row r="99" spans="2:8" ht="15" customHeight="1" x14ac:dyDescent="0.25">
      <c r="B99" s="7"/>
      <c r="C99" s="479" t="s">
        <v>505</v>
      </c>
      <c r="D99" s="480"/>
      <c r="E99" s="481"/>
      <c r="G99" s="517">
        <f>SUM(G80:G98)*G102</f>
        <v>125564.0997029936</v>
      </c>
      <c r="H99" s="517">
        <f t="shared" si="12"/>
        <v>12556.409970299359</v>
      </c>
    </row>
    <row r="100" spans="2:8" ht="15" customHeight="1" x14ac:dyDescent="0.35">
      <c r="B100" s="7"/>
      <c r="C100" s="483" t="s">
        <v>265</v>
      </c>
      <c r="D100" s="1029"/>
      <c r="E100" s="1029"/>
      <c r="F100" s="346"/>
      <c r="G100" s="484">
        <f>SUM(G80:G99)</f>
        <v>962658.09772295097</v>
      </c>
      <c r="H100" s="484">
        <f>SUM(H80:H99)</f>
        <v>96265.809772295092</v>
      </c>
    </row>
    <row r="101" spans="2:8" ht="12.75" customHeight="1" x14ac:dyDescent="0.25">
      <c r="B101" s="7"/>
      <c r="C101" s="735"/>
      <c r="D101" s="104"/>
      <c r="E101" s="7"/>
      <c r="F101" s="309"/>
      <c r="G101" s="309"/>
    </row>
    <row r="102" spans="2:8" ht="12.75" customHeight="1" x14ac:dyDescent="0.3">
      <c r="B102" s="7"/>
      <c r="C102" s="7"/>
      <c r="D102" s="104"/>
      <c r="E102" s="7"/>
      <c r="F102" s="485" t="s">
        <v>514</v>
      </c>
      <c r="G102" s="486">
        <v>0.15</v>
      </c>
    </row>
    <row r="103" spans="2:8" ht="12.75" customHeight="1" x14ac:dyDescent="0.25">
      <c r="B103" s="7"/>
      <c r="C103" s="7"/>
      <c r="D103" s="104"/>
      <c r="E103" s="7"/>
      <c r="F103" s="309"/>
      <c r="G103" s="309"/>
    </row>
    <row r="104" spans="2:8" ht="12.75" customHeight="1" x14ac:dyDescent="0.25">
      <c r="B104" s="7"/>
      <c r="C104" s="7"/>
      <c r="D104" s="104"/>
      <c r="E104" s="7"/>
      <c r="F104" s="7"/>
      <c r="G104" s="7"/>
    </row>
    <row r="105" spans="2:8" ht="12.75" customHeight="1" x14ac:dyDescent="0.35">
      <c r="B105" s="469">
        <v>5</v>
      </c>
      <c r="C105" s="1033" t="s">
        <v>515</v>
      </c>
      <c r="D105" s="1033"/>
      <c r="E105" s="1033"/>
      <c r="F105" s="1033"/>
      <c r="G105" s="1033"/>
    </row>
    <row r="106" spans="2:8" ht="12.75" customHeight="1" x14ac:dyDescent="0.25">
      <c r="B106" s="7"/>
      <c r="C106" s="470" t="s">
        <v>449</v>
      </c>
      <c r="D106" s="471" t="s">
        <v>450</v>
      </c>
      <c r="E106" s="471" t="s">
        <v>451</v>
      </c>
      <c r="F106" s="472" t="s">
        <v>452</v>
      </c>
      <c r="G106" s="472" t="s">
        <v>453</v>
      </c>
      <c r="H106" s="472" t="s">
        <v>516</v>
      </c>
    </row>
    <row r="107" spans="2:8" ht="15" customHeight="1" x14ac:dyDescent="0.25">
      <c r="B107" s="7"/>
      <c r="C107" s="42" t="s">
        <v>517</v>
      </c>
      <c r="D107" s="513">
        <v>0</v>
      </c>
      <c r="E107" s="478">
        <v>0</v>
      </c>
      <c r="F107" s="512">
        <f>D107*E107</f>
        <v>0</v>
      </c>
      <c r="G107" s="512">
        <f t="shared" ref="G107:H113" si="14">F107*20/100</f>
        <v>0</v>
      </c>
      <c r="H107" s="512">
        <f t="shared" si="14"/>
        <v>0</v>
      </c>
    </row>
    <row r="108" spans="2:8" ht="15" customHeight="1" x14ac:dyDescent="0.25">
      <c r="B108" s="7"/>
      <c r="C108" s="42" t="s">
        <v>518</v>
      </c>
      <c r="D108" s="513">
        <v>0</v>
      </c>
      <c r="E108" s="478">
        <v>0</v>
      </c>
      <c r="F108" s="512">
        <f>D108*E108</f>
        <v>0</v>
      </c>
      <c r="G108" s="512">
        <f t="shared" ref="G108:H108" si="15">F108*20/100</f>
        <v>0</v>
      </c>
      <c r="H108" s="512">
        <f t="shared" si="15"/>
        <v>0</v>
      </c>
    </row>
    <row r="109" spans="2:8" ht="15" customHeight="1" x14ac:dyDescent="0.25">
      <c r="B109" s="7"/>
      <c r="C109" s="42" t="s">
        <v>519</v>
      </c>
      <c r="D109" s="473">
        <v>1</v>
      </c>
      <c r="E109" s="478">
        <v>1842</v>
      </c>
      <c r="F109" s="512">
        <f>E109*E53</f>
        <v>1887.2045219999998</v>
      </c>
      <c r="G109" s="512">
        <v>1887.2</v>
      </c>
      <c r="H109" s="512">
        <f>G109*20/100</f>
        <v>377.44</v>
      </c>
    </row>
    <row r="110" spans="2:8" ht="15" customHeight="1" x14ac:dyDescent="0.25">
      <c r="B110" s="7"/>
      <c r="C110" s="42" t="s">
        <v>520</v>
      </c>
      <c r="D110" s="473">
        <v>0</v>
      </c>
      <c r="E110" s="478">
        <v>0</v>
      </c>
      <c r="F110" s="512">
        <f>D110*E110</f>
        <v>0</v>
      </c>
      <c r="G110" s="512">
        <f t="shared" si="14"/>
        <v>0</v>
      </c>
      <c r="H110" s="512">
        <f t="shared" si="14"/>
        <v>0</v>
      </c>
    </row>
    <row r="111" spans="2:8" ht="15" customHeight="1" x14ac:dyDescent="0.25">
      <c r="B111" s="7"/>
      <c r="C111" s="42" t="s">
        <v>521</v>
      </c>
      <c r="D111" s="473">
        <v>4</v>
      </c>
      <c r="E111" s="478">
        <v>3300</v>
      </c>
      <c r="F111" s="512">
        <f>D111*E111</f>
        <v>13200</v>
      </c>
      <c r="G111" s="512">
        <v>13200</v>
      </c>
      <c r="H111" s="512">
        <f>G111*20/100</f>
        <v>2640</v>
      </c>
    </row>
    <row r="112" spans="2:8" ht="15" customHeight="1" x14ac:dyDescent="0.25">
      <c r="B112" s="7"/>
      <c r="C112" s="479" t="s">
        <v>522</v>
      </c>
      <c r="D112" s="473">
        <v>1</v>
      </c>
      <c r="E112" s="478">
        <v>63500</v>
      </c>
      <c r="F112" s="512">
        <f>D112*E112</f>
        <v>63500</v>
      </c>
      <c r="G112" s="512">
        <v>63500</v>
      </c>
      <c r="H112" s="512">
        <f>G112*20/100</f>
        <v>12700</v>
      </c>
    </row>
    <row r="113" spans="2:8" ht="15" customHeight="1" x14ac:dyDescent="0.25">
      <c r="B113" s="7"/>
      <c r="C113" s="516"/>
      <c r="D113" s="480"/>
      <c r="E113" s="481"/>
      <c r="F113" s="517">
        <v>0</v>
      </c>
      <c r="G113" s="517">
        <f t="shared" si="14"/>
        <v>0</v>
      </c>
      <c r="H113" s="517">
        <f t="shared" si="14"/>
        <v>0</v>
      </c>
    </row>
    <row r="114" spans="2:8" ht="15" customHeight="1" x14ac:dyDescent="0.35">
      <c r="B114" s="7"/>
      <c r="C114" s="483" t="s">
        <v>265</v>
      </c>
      <c r="D114" s="1029"/>
      <c r="E114" s="1029"/>
      <c r="F114" s="484"/>
      <c r="G114" s="484">
        <f>SUM(G107:G113)</f>
        <v>78587.199999999997</v>
      </c>
      <c r="H114" s="484">
        <f>SUM(H107:H113)</f>
        <v>15717.44</v>
      </c>
    </row>
    <row r="115" spans="2:8" ht="12.75" customHeight="1" x14ac:dyDescent="0.25">
      <c r="B115" s="7"/>
      <c r="C115" s="735"/>
      <c r="D115" s="104"/>
      <c r="E115" s="7"/>
      <c r="F115" s="309"/>
      <c r="G115" s="309"/>
    </row>
    <row r="116" spans="2:8" ht="12.75" customHeight="1" x14ac:dyDescent="0.25">
      <c r="B116" s="7"/>
      <c r="C116" s="7"/>
      <c r="D116" s="104"/>
      <c r="E116" s="7"/>
      <c r="F116" s="7"/>
      <c r="G116" s="7"/>
    </row>
    <row r="117" spans="2:8" ht="12.75" customHeight="1" x14ac:dyDescent="0.25">
      <c r="B117" s="7"/>
      <c r="C117" s="7"/>
      <c r="D117" s="104"/>
      <c r="E117" s="7"/>
      <c r="F117" s="309"/>
      <c r="G117" s="309"/>
    </row>
    <row r="118" spans="2:8" ht="12.75" customHeight="1" x14ac:dyDescent="0.25">
      <c r="B118" s="7"/>
      <c r="C118" s="7"/>
      <c r="D118" s="104"/>
      <c r="E118" s="7"/>
      <c r="F118" s="7"/>
      <c r="G118" s="7"/>
    </row>
    <row r="119" spans="2:8" ht="12.75" customHeight="1" x14ac:dyDescent="0.35">
      <c r="B119" s="469">
        <v>6</v>
      </c>
      <c r="C119" s="1034" t="s">
        <v>523</v>
      </c>
      <c r="D119" s="1034"/>
      <c r="E119" s="1034"/>
      <c r="F119" s="1034"/>
      <c r="G119" s="1034"/>
    </row>
    <row r="120" spans="2:8" ht="12.75" customHeight="1" x14ac:dyDescent="0.25">
      <c r="B120" s="7"/>
      <c r="C120" s="470" t="s">
        <v>449</v>
      </c>
      <c r="D120" s="471" t="s">
        <v>450</v>
      </c>
      <c r="E120" s="471" t="s">
        <v>451</v>
      </c>
      <c r="F120" s="472" t="s">
        <v>452</v>
      </c>
      <c r="G120" s="472" t="s">
        <v>453</v>
      </c>
      <c r="H120" s="472" t="s">
        <v>516</v>
      </c>
    </row>
    <row r="121" spans="2:8" ht="15" customHeight="1" x14ac:dyDescent="0.25">
      <c r="B121" s="7"/>
      <c r="C121" s="42" t="s">
        <v>517</v>
      </c>
      <c r="D121" s="515">
        <v>12</v>
      </c>
      <c r="E121" s="478">
        <v>4832.5</v>
      </c>
      <c r="F121" s="478">
        <f>E121*$E$53</f>
        <v>4951.0943824999995</v>
      </c>
      <c r="G121" s="512">
        <f t="shared" ref="G121:G126" si="16">D121*F121</f>
        <v>59413.132589999994</v>
      </c>
      <c r="H121" s="512">
        <f t="shared" ref="H121:H127" si="17">G121*20/100</f>
        <v>11882.626517999999</v>
      </c>
    </row>
    <row r="122" spans="2:8" ht="15" customHeight="1" x14ac:dyDescent="0.25">
      <c r="B122" s="7"/>
      <c r="C122" s="42" t="s">
        <v>518</v>
      </c>
      <c r="D122" s="515">
        <v>6</v>
      </c>
      <c r="E122" s="478">
        <v>4895</v>
      </c>
      <c r="F122" s="478">
        <f>E122*$E$53</f>
        <v>5015.1281949999993</v>
      </c>
      <c r="G122" s="512">
        <f t="shared" si="16"/>
        <v>30090.769169999996</v>
      </c>
      <c r="H122" s="512">
        <f t="shared" si="17"/>
        <v>6018.1538339999997</v>
      </c>
    </row>
    <row r="123" spans="2:8" ht="15" customHeight="1" x14ac:dyDescent="0.25">
      <c r="B123" s="7"/>
      <c r="C123" s="42" t="s">
        <v>524</v>
      </c>
      <c r="D123" s="519">
        <v>9</v>
      </c>
      <c r="E123" s="478">
        <v>1842</v>
      </c>
      <c r="F123" s="478">
        <f t="shared" ref="F123:F125" si="18">E123*$E$53</f>
        <v>1887.2045219999998</v>
      </c>
      <c r="G123" s="512">
        <f t="shared" si="16"/>
        <v>16984.840697999996</v>
      </c>
      <c r="H123" s="512">
        <f t="shared" si="17"/>
        <v>3396.9681395999996</v>
      </c>
    </row>
    <row r="124" spans="2:8" ht="15" customHeight="1" x14ac:dyDescent="0.25">
      <c r="B124" s="7"/>
      <c r="C124" s="42" t="s">
        <v>525</v>
      </c>
      <c r="D124" s="473">
        <v>2</v>
      </c>
      <c r="E124" s="478">
        <v>846.73</v>
      </c>
      <c r="F124" s="478">
        <f t="shared" si="18"/>
        <v>867.50960092999992</v>
      </c>
      <c r="G124" s="512">
        <f t="shared" si="16"/>
        <v>1735.0192018599998</v>
      </c>
      <c r="H124" s="512">
        <f t="shared" si="17"/>
        <v>347.00384037199996</v>
      </c>
    </row>
    <row r="125" spans="2:8" ht="15" customHeight="1" x14ac:dyDescent="0.25">
      <c r="B125" s="7"/>
      <c r="C125" s="42" t="s">
        <v>520</v>
      </c>
      <c r="D125" s="473">
        <v>4</v>
      </c>
      <c r="E125" s="478">
        <v>193</v>
      </c>
      <c r="F125" s="478">
        <f t="shared" si="18"/>
        <v>197.736413</v>
      </c>
      <c r="G125" s="512">
        <f t="shared" si="16"/>
        <v>790.945652</v>
      </c>
      <c r="H125" s="512">
        <f t="shared" si="17"/>
        <v>158.18913039999998</v>
      </c>
    </row>
    <row r="126" spans="2:8" ht="15" customHeight="1" x14ac:dyDescent="0.25">
      <c r="B126" s="7"/>
      <c r="C126" s="42" t="s">
        <v>521</v>
      </c>
      <c r="D126" s="473">
        <v>25</v>
      </c>
      <c r="E126" s="478">
        <v>4250</v>
      </c>
      <c r="F126" s="478">
        <v>4250</v>
      </c>
      <c r="G126" s="512">
        <f t="shared" si="16"/>
        <v>106250</v>
      </c>
      <c r="H126" s="512">
        <f t="shared" si="17"/>
        <v>21250</v>
      </c>
    </row>
    <row r="127" spans="2:8" ht="15" customHeight="1" x14ac:dyDescent="0.25">
      <c r="B127" s="7"/>
      <c r="C127" s="479" t="s">
        <v>526</v>
      </c>
      <c r="D127" s="480">
        <v>1</v>
      </c>
      <c r="E127" s="481">
        <v>385000</v>
      </c>
      <c r="F127" s="481">
        <v>385000</v>
      </c>
      <c r="G127" s="517">
        <f>F127</f>
        <v>385000</v>
      </c>
      <c r="H127" s="517">
        <f t="shared" si="17"/>
        <v>77000</v>
      </c>
    </row>
    <row r="128" spans="2:8" ht="15" customHeight="1" x14ac:dyDescent="0.35">
      <c r="B128" s="7"/>
      <c r="C128" s="483" t="s">
        <v>265</v>
      </c>
      <c r="D128" s="1029"/>
      <c r="E128" s="1029"/>
      <c r="F128" s="346"/>
      <c r="G128" s="484">
        <f>SUM(G121:G127)</f>
        <v>600264.70731186005</v>
      </c>
      <c r="H128" s="484">
        <f>SUM(H121:H127)</f>
        <v>120052.94146237199</v>
      </c>
    </row>
    <row r="133" spans="2:7" ht="12.75" customHeight="1" x14ac:dyDescent="0.35">
      <c r="B133" s="469">
        <v>7</v>
      </c>
      <c r="C133" s="1035" t="s">
        <v>527</v>
      </c>
      <c r="D133" s="1035"/>
      <c r="E133" s="1035"/>
      <c r="F133" s="1035"/>
      <c r="G133" s="1035"/>
    </row>
    <row r="134" spans="2:7" ht="12.75" customHeight="1" x14ac:dyDescent="0.25">
      <c r="B134" s="7"/>
      <c r="C134" s="470" t="s">
        <v>449</v>
      </c>
      <c r="D134" s="471" t="s">
        <v>450</v>
      </c>
      <c r="E134" s="472" t="s">
        <v>528</v>
      </c>
      <c r="F134" s="472" t="s">
        <v>473</v>
      </c>
      <c r="G134" s="472" t="s">
        <v>516</v>
      </c>
    </row>
    <row r="135" spans="2:7" ht="12.75" customHeight="1" x14ac:dyDescent="0.25">
      <c r="B135" s="7"/>
      <c r="C135" s="521" t="s">
        <v>529</v>
      </c>
      <c r="D135" s="522">
        <v>1</v>
      </c>
      <c r="E135" s="478">
        <v>765000</v>
      </c>
      <c r="F135" s="523">
        <f>E135</f>
        <v>765000</v>
      </c>
      <c r="G135" s="524">
        <f>F135*20/100</f>
        <v>153000</v>
      </c>
    </row>
    <row r="136" spans="2:7" ht="12.75" customHeight="1" x14ac:dyDescent="0.25">
      <c r="B136" s="7"/>
      <c r="C136" s="557" t="s">
        <v>530</v>
      </c>
      <c r="D136" s="525">
        <v>1</v>
      </c>
      <c r="E136" s="478">
        <v>2625000</v>
      </c>
      <c r="F136" s="526">
        <f>E136</f>
        <v>2625000</v>
      </c>
      <c r="G136" s="524">
        <f>F136*20/100</f>
        <v>525000</v>
      </c>
    </row>
    <row r="137" spans="2:7" ht="12.75" customHeight="1" x14ac:dyDescent="0.25">
      <c r="B137" s="7"/>
      <c r="C137" s="527" t="s">
        <v>531</v>
      </c>
      <c r="D137" s="528">
        <v>1</v>
      </c>
      <c r="E137" s="529">
        <v>0</v>
      </c>
      <c r="F137" s="530">
        <f>(F135+F136)*G140</f>
        <v>508500</v>
      </c>
      <c r="G137" s="531">
        <f>F137*0.2</f>
        <v>101700</v>
      </c>
    </row>
    <row r="138" spans="2:7" ht="12.75" customHeight="1" x14ac:dyDescent="0.35">
      <c r="B138" s="7"/>
      <c r="C138" s="483" t="s">
        <v>265</v>
      </c>
      <c r="D138" s="1029"/>
      <c r="E138" s="1029"/>
      <c r="F138" s="484">
        <f>SUM(F135:F137)</f>
        <v>3898500</v>
      </c>
      <c r="G138" s="780">
        <f>F138*0.2</f>
        <v>779700</v>
      </c>
    </row>
    <row r="139" spans="2:7" ht="12.75" customHeight="1" x14ac:dyDescent="0.25">
      <c r="B139" s="7"/>
      <c r="C139" s="735"/>
      <c r="D139" s="104"/>
      <c r="E139" s="7"/>
      <c r="F139" s="309"/>
      <c r="G139" s="309"/>
    </row>
    <row r="140" spans="2:7" ht="12.75" customHeight="1" x14ac:dyDescent="0.3">
      <c r="B140" s="7"/>
      <c r="C140" s="7"/>
      <c r="D140" s="104"/>
      <c r="E140" s="7"/>
      <c r="F140" s="485" t="s">
        <v>532</v>
      </c>
      <c r="G140" s="486">
        <v>0.15</v>
      </c>
    </row>
    <row r="141" spans="2:7" ht="12.75" customHeight="1" x14ac:dyDescent="0.25">
      <c r="B141" s="7"/>
      <c r="C141" s="7"/>
      <c r="D141" s="104"/>
      <c r="E141" s="7"/>
      <c r="F141" s="309"/>
      <c r="G141" s="309"/>
    </row>
    <row r="142" spans="2:7" ht="12.75" customHeight="1" x14ac:dyDescent="0.35">
      <c r="B142" s="469">
        <v>8</v>
      </c>
      <c r="C142" s="1030" t="s">
        <v>533</v>
      </c>
      <c r="D142" s="1030"/>
      <c r="E142" s="1030"/>
      <c r="F142" s="1030"/>
      <c r="G142" s="1030"/>
    </row>
    <row r="143" spans="2:7" ht="12.75" customHeight="1" x14ac:dyDescent="0.25">
      <c r="B143" s="7"/>
      <c r="C143" s="470" t="s">
        <v>449</v>
      </c>
      <c r="D143" s="471" t="s">
        <v>450</v>
      </c>
      <c r="E143" s="472" t="s">
        <v>528</v>
      </c>
      <c r="F143" s="472" t="s">
        <v>473</v>
      </c>
      <c r="G143" s="472" t="s">
        <v>516</v>
      </c>
    </row>
    <row r="144" spans="2:7" ht="12.75" customHeight="1" x14ac:dyDescent="0.25">
      <c r="B144" s="7"/>
      <c r="C144" s="42" t="s">
        <v>534</v>
      </c>
      <c r="D144" s="473">
        <v>2</v>
      </c>
      <c r="E144" s="478">
        <v>92500</v>
      </c>
      <c r="F144" s="512">
        <f>D144*E144</f>
        <v>185000</v>
      </c>
      <c r="G144" s="512">
        <f>F144*20/100</f>
        <v>37000</v>
      </c>
    </row>
    <row r="145" spans="2:7" ht="12.75" customHeight="1" x14ac:dyDescent="0.35">
      <c r="B145" s="7"/>
      <c r="C145" s="483" t="s">
        <v>265</v>
      </c>
      <c r="D145" s="473"/>
      <c r="E145" s="478"/>
      <c r="F145" s="512"/>
      <c r="G145" s="512">
        <v>37000</v>
      </c>
    </row>
    <row r="146" spans="2:7" ht="12.75" customHeight="1" x14ac:dyDescent="0.25">
      <c r="B146" s="7"/>
      <c r="C146" s="7"/>
      <c r="D146" s="104"/>
      <c r="E146" s="7"/>
      <c r="F146" s="7"/>
      <c r="G146" s="7"/>
    </row>
    <row r="147" spans="2:7" ht="12.75" customHeight="1" x14ac:dyDescent="0.25">
      <c r="B147" s="7"/>
      <c r="C147" s="82"/>
      <c r="D147" s="532"/>
      <c r="E147" s="82"/>
      <c r="F147" s="82"/>
      <c r="G147" s="82"/>
    </row>
    <row r="148" spans="2:7" ht="12.75" customHeight="1" x14ac:dyDescent="0.35">
      <c r="B148" s="533">
        <v>9</v>
      </c>
      <c r="C148" s="1031" t="s">
        <v>535</v>
      </c>
      <c r="D148" s="1031"/>
      <c r="E148" s="1031"/>
      <c r="F148" s="1031"/>
      <c r="G148" s="1031"/>
    </row>
    <row r="149" spans="2:7" ht="12.75" customHeight="1" x14ac:dyDescent="0.25">
      <c r="B149" s="7"/>
      <c r="C149" s="534" t="s">
        <v>449</v>
      </c>
      <c r="D149" s="522" t="s">
        <v>450</v>
      </c>
      <c r="E149" s="535" t="s">
        <v>528</v>
      </c>
      <c r="F149" s="535" t="s">
        <v>473</v>
      </c>
      <c r="G149" s="535" t="s">
        <v>454</v>
      </c>
    </row>
    <row r="150" spans="2:7" ht="12.75" customHeight="1" x14ac:dyDescent="0.25">
      <c r="B150" s="7"/>
      <c r="C150" s="42" t="s">
        <v>536</v>
      </c>
      <c r="D150" s="473">
        <v>1</v>
      </c>
      <c r="E150" s="478">
        <v>78560</v>
      </c>
      <c r="F150" s="475">
        <f>D150*E150</f>
        <v>78560</v>
      </c>
      <c r="G150" s="475">
        <f>F150*10/100</f>
        <v>7856</v>
      </c>
    </row>
    <row r="151" spans="2:7" ht="12.75" customHeight="1" x14ac:dyDescent="0.25">
      <c r="B151" s="7"/>
      <c r="C151" s="536" t="s">
        <v>537</v>
      </c>
      <c r="D151" s="537">
        <v>1</v>
      </c>
      <c r="E151" s="478">
        <v>37789.80773</v>
      </c>
      <c r="F151" s="538">
        <f>D151*E151</f>
        <v>37789.80773</v>
      </c>
      <c r="G151" s="538">
        <f>F151*10/100</f>
        <v>3778.9807730000002</v>
      </c>
    </row>
    <row r="152" spans="2:7" ht="12.75" customHeight="1" x14ac:dyDescent="0.35">
      <c r="B152" s="7"/>
      <c r="C152" s="483" t="s">
        <v>265</v>
      </c>
      <c r="D152" s="1029"/>
      <c r="E152" s="1029"/>
      <c r="F152" s="484">
        <f>SUM(F150:F151)</f>
        <v>116349.80773</v>
      </c>
      <c r="G152" s="484">
        <f>SUM(G150:G151)</f>
        <v>11634.980772999999</v>
      </c>
    </row>
    <row r="153" spans="2:7" ht="12.75" customHeight="1" x14ac:dyDescent="0.25">
      <c r="B153" s="7"/>
      <c r="C153" s="735"/>
      <c r="D153" s="104"/>
      <c r="E153" s="7"/>
      <c r="F153" s="309"/>
      <c r="G153" s="309"/>
    </row>
    <row r="154" spans="2:7" ht="12.75" customHeight="1" x14ac:dyDescent="0.25">
      <c r="B154" s="7"/>
      <c r="C154" s="7"/>
      <c r="D154" s="104"/>
      <c r="E154" s="7"/>
      <c r="F154" s="309"/>
      <c r="G154" s="309"/>
    </row>
    <row r="155" spans="2:7" ht="12.75" customHeight="1" x14ac:dyDescent="0.25">
      <c r="B155" s="7"/>
      <c r="C155" s="7"/>
      <c r="D155" s="104"/>
      <c r="E155" s="7"/>
      <c r="F155" s="7"/>
      <c r="G155" s="7"/>
    </row>
    <row r="156" spans="2:7" ht="12.75" customHeight="1" x14ac:dyDescent="0.35">
      <c r="B156" s="469">
        <v>10</v>
      </c>
      <c r="C156" s="1032" t="s">
        <v>538</v>
      </c>
      <c r="D156" s="1032"/>
      <c r="E156" s="1032"/>
      <c r="F156" s="1032"/>
      <c r="G156" s="1032"/>
    </row>
    <row r="157" spans="2:7" ht="12.75" customHeight="1" x14ac:dyDescent="0.25">
      <c r="B157" s="7"/>
      <c r="C157" s="1027" t="s">
        <v>449</v>
      </c>
      <c r="D157" s="1027"/>
      <c r="E157" s="1027"/>
      <c r="F157" s="472" t="s">
        <v>473</v>
      </c>
      <c r="G157" s="472" t="s">
        <v>539</v>
      </c>
    </row>
    <row r="158" spans="2:7" ht="15" customHeight="1" x14ac:dyDescent="0.25">
      <c r="B158" s="7"/>
      <c r="C158" s="539" t="s">
        <v>448</v>
      </c>
      <c r="D158" s="473"/>
      <c r="E158" s="539"/>
      <c r="F158" s="512">
        <f>G31</f>
        <v>6329393.8600000003</v>
      </c>
      <c r="G158" s="512">
        <f>H31</f>
        <v>632939.38599999994</v>
      </c>
    </row>
    <row r="159" spans="2:7" ht="15" customHeight="1" x14ac:dyDescent="0.25">
      <c r="B159" s="7"/>
      <c r="C159" s="539" t="s">
        <v>470</v>
      </c>
      <c r="D159" s="473"/>
      <c r="E159" s="539"/>
      <c r="F159" s="512">
        <f>F46</f>
        <v>36969398.778532833</v>
      </c>
      <c r="G159" s="512">
        <f>G46</f>
        <v>1848469.9389266416</v>
      </c>
    </row>
    <row r="160" spans="2:7" ht="15" customHeight="1" x14ac:dyDescent="0.25">
      <c r="B160" s="7"/>
      <c r="C160" s="539" t="s">
        <v>540</v>
      </c>
      <c r="D160" s="473"/>
      <c r="E160" s="539"/>
      <c r="F160" s="512">
        <f>G73</f>
        <v>63654.523835906497</v>
      </c>
      <c r="G160" s="512">
        <f>H73</f>
        <v>6365.4523835906493</v>
      </c>
    </row>
    <row r="161" spans="2:8" ht="15" customHeight="1" x14ac:dyDescent="0.25">
      <c r="B161" s="7"/>
      <c r="C161" s="539" t="s">
        <v>541</v>
      </c>
      <c r="D161" s="473"/>
      <c r="E161" s="539"/>
      <c r="F161" s="512">
        <f>G100</f>
        <v>962658.09772295097</v>
      </c>
      <c r="G161" s="512">
        <f>H100</f>
        <v>96265.809772295092</v>
      </c>
      <c r="H161" s="7"/>
    </row>
    <row r="162" spans="2:8" ht="15" customHeight="1" x14ac:dyDescent="0.25">
      <c r="B162" s="7"/>
      <c r="C162" s="539" t="s">
        <v>515</v>
      </c>
      <c r="D162" s="473"/>
      <c r="E162" s="539"/>
      <c r="F162" s="512">
        <f>G114</f>
        <v>78587.199999999997</v>
      </c>
      <c r="G162" s="512">
        <f>H114</f>
        <v>15717.44</v>
      </c>
      <c r="H162" s="7"/>
    </row>
    <row r="163" spans="2:8" ht="15" customHeight="1" x14ac:dyDescent="0.25">
      <c r="B163" s="7"/>
      <c r="C163" s="539" t="s">
        <v>542</v>
      </c>
      <c r="D163" s="473"/>
      <c r="E163" s="539"/>
      <c r="F163" s="512">
        <f>G128</f>
        <v>600264.70731186005</v>
      </c>
      <c r="G163" s="512">
        <f>H128</f>
        <v>120052.94146237199</v>
      </c>
      <c r="H163" s="7"/>
    </row>
    <row r="164" spans="2:8" ht="15" customHeight="1" x14ac:dyDescent="0.25">
      <c r="B164" s="7"/>
      <c r="C164" s="540" t="s">
        <v>527</v>
      </c>
      <c r="D164" s="541"/>
      <c r="E164" s="540"/>
      <c r="F164" s="523">
        <f>F138</f>
        <v>3898500</v>
      </c>
      <c r="G164" s="523">
        <f>G138</f>
        <v>779700</v>
      </c>
      <c r="H164" s="7"/>
    </row>
    <row r="165" spans="2:8" ht="15" customHeight="1" x14ac:dyDescent="0.25">
      <c r="B165" s="7"/>
      <c r="C165" s="539" t="s">
        <v>533</v>
      </c>
      <c r="D165" s="473"/>
      <c r="E165" s="539"/>
      <c r="F165" s="512">
        <f>F144+F145</f>
        <v>185000</v>
      </c>
      <c r="G165" s="512">
        <f>G144+G145</f>
        <v>74000</v>
      </c>
      <c r="H165" s="7"/>
    </row>
    <row r="166" spans="2:8" ht="15" customHeight="1" x14ac:dyDescent="0.25">
      <c r="B166" s="7"/>
      <c r="C166" s="542" t="s">
        <v>535</v>
      </c>
      <c r="D166" s="480"/>
      <c r="E166" s="542"/>
      <c r="F166" s="517">
        <f>F152</f>
        <v>116349.80773</v>
      </c>
      <c r="G166" s="517">
        <f>G152</f>
        <v>11634.980772999999</v>
      </c>
      <c r="H166" s="7"/>
    </row>
    <row r="167" spans="2:8" ht="15" customHeight="1" x14ac:dyDescent="0.35">
      <c r="B167" s="7"/>
      <c r="C167" s="543" t="s">
        <v>265</v>
      </c>
      <c r="D167" s="544"/>
      <c r="E167" s="545"/>
      <c r="F167" s="484">
        <f>SUM(F158:F166)</f>
        <v>49203806.975133546</v>
      </c>
      <c r="G167" s="484">
        <f>SUM(G158:G166)</f>
        <v>3585145.9493178995</v>
      </c>
      <c r="H167" s="7"/>
    </row>
    <row r="168" spans="2:8" ht="12.75" customHeight="1" x14ac:dyDescent="0.25">
      <c r="B168" s="7"/>
      <c r="C168" s="18"/>
      <c r="D168" s="104"/>
      <c r="E168" s="18"/>
      <c r="F168" s="309">
        <f>F167-E198</f>
        <v>-478392.21333337575</v>
      </c>
      <c r="G168" s="309"/>
      <c r="H168" s="7"/>
    </row>
    <row r="169" spans="2:8" ht="12.75" customHeight="1" x14ac:dyDescent="0.25">
      <c r="B169" s="7"/>
      <c r="C169" s="18"/>
      <c r="D169" s="104"/>
      <c r="E169" s="18"/>
      <c r="F169" s="309"/>
      <c r="G169" s="309"/>
      <c r="H169" s="7"/>
    </row>
    <row r="170" spans="2:8" ht="12.75" customHeight="1" x14ac:dyDescent="0.25">
      <c r="B170" s="7"/>
      <c r="C170" s="7"/>
      <c r="D170" s="104"/>
      <c r="E170" s="7"/>
      <c r="F170" s="7"/>
      <c r="G170" s="7"/>
      <c r="H170" s="7"/>
    </row>
    <row r="171" spans="2:8" ht="19.5" customHeight="1" x14ac:dyDescent="0.35">
      <c r="B171" s="7"/>
      <c r="C171" s="7"/>
      <c r="D171" s="1028" t="s">
        <v>543</v>
      </c>
      <c r="E171" s="1028"/>
      <c r="F171" s="1028"/>
      <c r="G171" s="1028"/>
      <c r="H171" s="1028"/>
    </row>
    <row r="172" spans="2:8" ht="12.75" customHeight="1" x14ac:dyDescent="0.25">
      <c r="B172" s="7"/>
      <c r="C172" s="7"/>
      <c r="D172" s="544" t="s">
        <v>89</v>
      </c>
      <c r="E172" s="546" t="s">
        <v>544</v>
      </c>
      <c r="F172" s="546" t="s">
        <v>545</v>
      </c>
      <c r="G172" s="546" t="s">
        <v>546</v>
      </c>
      <c r="H172" s="547" t="s">
        <v>281</v>
      </c>
    </row>
    <row r="173" spans="2:8" ht="15" customHeight="1" x14ac:dyDescent="0.25">
      <c r="B173" s="7"/>
      <c r="C173" s="7"/>
      <c r="D173" s="473">
        <v>1</v>
      </c>
      <c r="E173" s="42"/>
      <c r="F173" s="42"/>
      <c r="G173" s="42"/>
      <c r="H173" s="548">
        <f t="shared" ref="H173:H197" si="19">E173+F173+G173</f>
        <v>0</v>
      </c>
    </row>
    <row r="174" spans="2:8" ht="15" customHeight="1" x14ac:dyDescent="0.25">
      <c r="B174" s="7"/>
      <c r="C174" s="7"/>
      <c r="D174" s="473">
        <v>2</v>
      </c>
      <c r="E174" s="478">
        <f>((G$46+H$31+H$73+H$100+G$152+H$114+H$128+G$138+G$144+G145)/12)*4</f>
        <v>1195048.6497726331</v>
      </c>
      <c r="F174" s="42"/>
      <c r="G174" s="42"/>
      <c r="H174" s="548">
        <f t="shared" si="19"/>
        <v>1195048.6497726331</v>
      </c>
    </row>
    <row r="175" spans="2:8" ht="15" customHeight="1" x14ac:dyDescent="0.25">
      <c r="B175" s="7"/>
      <c r="C175" s="7"/>
      <c r="D175" s="473">
        <v>3</v>
      </c>
      <c r="E175" s="478">
        <f>G$46+H$31+H$73+H$100+G$152+G$114+H$128+G$138+G$144+$G$145</f>
        <v>3648015.7093178998</v>
      </c>
      <c r="F175" s="42"/>
      <c r="G175" s="42"/>
      <c r="H175" s="548">
        <f t="shared" si="19"/>
        <v>3648015.7093178998</v>
      </c>
    </row>
    <row r="176" spans="2:8" ht="15" customHeight="1" x14ac:dyDescent="0.25">
      <c r="B176" s="7"/>
      <c r="C176" s="7"/>
      <c r="D176" s="473">
        <v>4</v>
      </c>
      <c r="E176" s="478">
        <f t="shared" ref="E176:E178" si="20">G$46+H$31+H$73+H$100+G$152+G$114+H$128+G$138+G$144+$G$145</f>
        <v>3648015.7093178998</v>
      </c>
      <c r="F176" s="42"/>
      <c r="G176" s="42"/>
      <c r="H176" s="548">
        <f t="shared" si="19"/>
        <v>3648015.7093178998</v>
      </c>
    </row>
    <row r="177" spans="4:8" ht="15" customHeight="1" x14ac:dyDescent="0.25">
      <c r="D177" s="473">
        <v>5</v>
      </c>
      <c r="E177" s="478">
        <f t="shared" si="20"/>
        <v>3648015.7093178998</v>
      </c>
      <c r="F177" s="42"/>
      <c r="G177" s="42"/>
      <c r="H177" s="548">
        <f t="shared" si="19"/>
        <v>3648015.7093178998</v>
      </c>
    </row>
    <row r="178" spans="4:8" ht="15" customHeight="1" x14ac:dyDescent="0.25">
      <c r="D178" s="473">
        <v>6</v>
      </c>
      <c r="E178" s="478">
        <f t="shared" si="20"/>
        <v>3648015.7093178998</v>
      </c>
      <c r="F178" s="42"/>
      <c r="G178" s="42"/>
      <c r="H178" s="548">
        <f t="shared" si="19"/>
        <v>3648015.7093178998</v>
      </c>
    </row>
    <row r="179" spans="4:8" ht="15" customHeight="1" x14ac:dyDescent="0.25">
      <c r="D179" s="473">
        <v>7</v>
      </c>
      <c r="E179" s="478">
        <f>G$46+H$31+H$73+H$100+G$152+(((G$138+G$144+$G$145+G$114+H$128)/12)*8)</f>
        <v>3297235.6621637754</v>
      </c>
      <c r="F179" s="42"/>
      <c r="G179" s="42"/>
      <c r="H179" s="548">
        <f t="shared" si="19"/>
        <v>3297235.6621637754</v>
      </c>
    </row>
    <row r="180" spans="4:8" ht="15" customHeight="1" x14ac:dyDescent="0.25">
      <c r="D180" s="473">
        <v>8</v>
      </c>
      <c r="E180" s="478">
        <f>G$46+H$31+H$73+H$100+G$152</f>
        <v>2595675.5678555276</v>
      </c>
      <c r="F180" s="42"/>
      <c r="G180" s="42"/>
      <c r="H180" s="548">
        <f t="shared" si="19"/>
        <v>2595675.5678555276</v>
      </c>
    </row>
    <row r="181" spans="4:8" ht="15" customHeight="1" x14ac:dyDescent="0.25">
      <c r="D181" s="473">
        <v>9</v>
      </c>
      <c r="E181" s="478">
        <f t="shared" ref="E181:E183" si="21">G$46+H$31+H$73+H$100+G$152</f>
        <v>2595675.5678555276</v>
      </c>
      <c r="F181" s="42"/>
      <c r="G181" s="42"/>
      <c r="H181" s="548">
        <f t="shared" si="19"/>
        <v>2595675.5678555276</v>
      </c>
    </row>
    <row r="182" spans="4:8" ht="15" customHeight="1" x14ac:dyDescent="0.25">
      <c r="D182" s="473">
        <v>10</v>
      </c>
      <c r="E182" s="478">
        <f t="shared" si="21"/>
        <v>2595675.5678555276</v>
      </c>
      <c r="F182" s="42"/>
      <c r="G182" s="42"/>
      <c r="H182" s="548">
        <f t="shared" si="19"/>
        <v>2595675.5678555276</v>
      </c>
    </row>
    <row r="183" spans="4:8" ht="15" customHeight="1" x14ac:dyDescent="0.25">
      <c r="D183" s="473">
        <v>11</v>
      </c>
      <c r="E183" s="478">
        <f t="shared" si="21"/>
        <v>2595675.5678555276</v>
      </c>
      <c r="F183" s="42"/>
      <c r="G183" s="42"/>
      <c r="H183" s="548">
        <f t="shared" si="19"/>
        <v>2595675.5678555276</v>
      </c>
    </row>
    <row r="184" spans="4:8" ht="15" customHeight="1" x14ac:dyDescent="0.25">
      <c r="D184" s="473">
        <v>12</v>
      </c>
      <c r="E184" s="478">
        <f>G$46+(((H$31+H$73+H$100+G$152)/12)*8)</f>
        <v>2346607.024879232</v>
      </c>
      <c r="F184" s="42"/>
      <c r="G184" s="42"/>
      <c r="H184" s="548">
        <f t="shared" si="19"/>
        <v>2346607.024879232</v>
      </c>
    </row>
    <row r="185" spans="4:8" ht="15" customHeight="1" x14ac:dyDescent="0.25">
      <c r="D185" s="473">
        <v>13</v>
      </c>
      <c r="E185" s="478">
        <f t="shared" ref="E185:E193" si="22">G$46</f>
        <v>1848469.9389266416</v>
      </c>
      <c r="F185" s="42"/>
      <c r="G185" s="42"/>
      <c r="H185" s="548">
        <f t="shared" si="19"/>
        <v>1848469.9389266416</v>
      </c>
    </row>
    <row r="186" spans="4:8" ht="15" customHeight="1" x14ac:dyDescent="0.25">
      <c r="D186" s="473">
        <v>14</v>
      </c>
      <c r="E186" s="478">
        <f t="shared" si="22"/>
        <v>1848469.9389266416</v>
      </c>
      <c r="F186" s="42"/>
      <c r="G186" s="42"/>
      <c r="H186" s="548">
        <f t="shared" si="19"/>
        <v>1848469.9389266416</v>
      </c>
    </row>
    <row r="187" spans="4:8" ht="15" customHeight="1" x14ac:dyDescent="0.25">
      <c r="D187" s="473">
        <v>15</v>
      </c>
      <c r="E187" s="478">
        <f t="shared" si="22"/>
        <v>1848469.9389266416</v>
      </c>
      <c r="F187" s="42"/>
      <c r="G187" s="42"/>
      <c r="H187" s="548">
        <f t="shared" si="19"/>
        <v>1848469.9389266416</v>
      </c>
    </row>
    <row r="188" spans="4:8" ht="15" customHeight="1" x14ac:dyDescent="0.25">
      <c r="D188" s="473">
        <v>16</v>
      </c>
      <c r="E188" s="478">
        <f t="shared" si="22"/>
        <v>1848469.9389266416</v>
      </c>
      <c r="F188" s="42"/>
      <c r="G188" s="42"/>
      <c r="H188" s="548">
        <f t="shared" si="19"/>
        <v>1848469.9389266416</v>
      </c>
    </row>
    <row r="189" spans="4:8" ht="15" customHeight="1" x14ac:dyDescent="0.25">
      <c r="D189" s="473">
        <v>17</v>
      </c>
      <c r="E189" s="478">
        <f t="shared" si="22"/>
        <v>1848469.9389266416</v>
      </c>
      <c r="F189" s="42"/>
      <c r="G189" s="42"/>
      <c r="H189" s="548">
        <f t="shared" si="19"/>
        <v>1848469.9389266416</v>
      </c>
    </row>
    <row r="190" spans="4:8" ht="15" customHeight="1" x14ac:dyDescent="0.25">
      <c r="D190" s="473">
        <v>18</v>
      </c>
      <c r="E190" s="478">
        <f t="shared" si="22"/>
        <v>1848469.9389266416</v>
      </c>
      <c r="F190" s="42"/>
      <c r="G190" s="42"/>
      <c r="H190" s="548">
        <f t="shared" si="19"/>
        <v>1848469.9389266416</v>
      </c>
    </row>
    <row r="191" spans="4:8" ht="15" customHeight="1" x14ac:dyDescent="0.25">
      <c r="D191" s="473">
        <v>19</v>
      </c>
      <c r="E191" s="478">
        <f t="shared" si="22"/>
        <v>1848469.9389266416</v>
      </c>
      <c r="F191" s="42"/>
      <c r="G191" s="42"/>
      <c r="H191" s="548">
        <f t="shared" si="19"/>
        <v>1848469.9389266416</v>
      </c>
    </row>
    <row r="192" spans="4:8" ht="15" customHeight="1" x14ac:dyDescent="0.25">
      <c r="D192" s="473">
        <v>20</v>
      </c>
      <c r="E192" s="478">
        <f t="shared" si="22"/>
        <v>1848469.9389266416</v>
      </c>
      <c r="F192" s="42"/>
      <c r="G192" s="42"/>
      <c r="H192" s="548">
        <f t="shared" si="19"/>
        <v>1848469.9389266416</v>
      </c>
    </row>
    <row r="193" spans="4:8" ht="15" customHeight="1" x14ac:dyDescent="0.25">
      <c r="D193" s="473">
        <v>21</v>
      </c>
      <c r="E193" s="478">
        <f t="shared" si="22"/>
        <v>1848469.9389266416</v>
      </c>
      <c r="F193" s="42"/>
      <c r="G193" s="42"/>
      <c r="H193" s="548">
        <f t="shared" si="19"/>
        <v>1848469.9389266416</v>
      </c>
    </row>
    <row r="194" spans="4:8" ht="15" customHeight="1" x14ac:dyDescent="0.25">
      <c r="D194" s="473">
        <v>22</v>
      </c>
      <c r="E194" s="478">
        <f>(G$46/12)*8</f>
        <v>1232313.2926177611</v>
      </c>
      <c r="F194" s="42"/>
      <c r="G194" s="42"/>
      <c r="H194" s="548">
        <f t="shared" si="19"/>
        <v>1232313.2926177611</v>
      </c>
    </row>
    <row r="195" spans="4:8" ht="15" customHeight="1" x14ac:dyDescent="0.25">
      <c r="D195" s="473">
        <v>23</v>
      </c>
      <c r="E195" s="42"/>
      <c r="F195" s="42"/>
      <c r="G195" s="42"/>
      <c r="H195" s="548">
        <f t="shared" si="19"/>
        <v>0</v>
      </c>
    </row>
    <row r="196" spans="4:8" ht="15" customHeight="1" x14ac:dyDescent="0.25">
      <c r="D196" s="473">
        <v>24</v>
      </c>
      <c r="E196" s="42"/>
      <c r="F196" s="42"/>
      <c r="G196" s="42"/>
      <c r="H196" s="548">
        <f t="shared" si="19"/>
        <v>0</v>
      </c>
    </row>
    <row r="197" spans="4:8" ht="15" customHeight="1" x14ac:dyDescent="0.25">
      <c r="D197" s="473">
        <v>25</v>
      </c>
      <c r="E197" s="42"/>
      <c r="F197" s="42"/>
      <c r="G197" s="42"/>
      <c r="H197" s="548">
        <f t="shared" si="19"/>
        <v>0</v>
      </c>
    </row>
    <row r="198" spans="4:8" ht="12.75" customHeight="1" x14ac:dyDescent="0.25">
      <c r="D198" s="178"/>
      <c r="E198" s="549">
        <f>SUM(E174:E197)</f>
        <v>49682199.188466921</v>
      </c>
      <c r="F198" s="44"/>
      <c r="G198" s="44"/>
      <c r="H198" s="44"/>
    </row>
  </sheetData>
  <mergeCells count="22">
    <mergeCell ref="C2:G2"/>
    <mergeCell ref="C3:G3"/>
    <mergeCell ref="C4:G4"/>
    <mergeCell ref="C10:G10"/>
    <mergeCell ref="D31:E31"/>
    <mergeCell ref="C35:G35"/>
    <mergeCell ref="C54:G54"/>
    <mergeCell ref="D73:E73"/>
    <mergeCell ref="C78:G78"/>
    <mergeCell ref="D100:E100"/>
    <mergeCell ref="C105:G105"/>
    <mergeCell ref="D114:E114"/>
    <mergeCell ref="C119:G119"/>
    <mergeCell ref="D128:E128"/>
    <mergeCell ref="C133:G133"/>
    <mergeCell ref="C157:E157"/>
    <mergeCell ref="D171:H171"/>
    <mergeCell ref="D138:E138"/>
    <mergeCell ref="C142:G142"/>
    <mergeCell ref="C148:G148"/>
    <mergeCell ref="D152:E152"/>
    <mergeCell ref="C156:G156"/>
  </mergeCells>
  <hyperlinks>
    <hyperlink ref="C47" r:id="rId1" xr:uid="{00000000-0004-0000-1000-000000000000}"/>
  </hyperlinks>
  <pageMargins left="0.51180555555555496" right="0.51180555555555496" top="0.78749999999999998" bottom="0.78749999999999998" header="0.51180555555555496" footer="0.51180555555555496"/>
  <pageSetup paperSize="9" firstPageNumber="0" orientation="portrait" horizontalDpi="300" verticalDpi="300" r:id="rId2"/>
  <drawing r:id="rId3"/>
  <legacyDrawing r:id="rId4"/>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sheetPr>
  <dimension ref="B2:I196"/>
  <sheetViews>
    <sheetView topLeftCell="A163" workbookViewId="0">
      <selection activeCell="A163" sqref="A163"/>
    </sheetView>
  </sheetViews>
  <sheetFormatPr defaultRowHeight="12.5" x14ac:dyDescent="0.25"/>
  <cols>
    <col min="1" max="1" width="2" customWidth="1"/>
    <col min="2" max="2" width="4.453125" customWidth="1"/>
    <col min="3" max="3" width="93.81640625" bestFit="1" customWidth="1"/>
    <col min="4" max="4" width="15.1796875" customWidth="1"/>
    <col min="5" max="5" width="18.54296875" customWidth="1"/>
    <col min="6" max="6" width="20.1796875" customWidth="1"/>
    <col min="7" max="7" width="21.81640625" customWidth="1"/>
    <col min="8" max="8" width="19.81640625" customWidth="1"/>
    <col min="9" max="9" width="21.54296875" customWidth="1"/>
    <col min="10" max="10" width="13.453125" customWidth="1"/>
    <col min="11" max="26" width="8.7265625" customWidth="1"/>
    <col min="27" max="1025" width="14.453125" customWidth="1"/>
  </cols>
  <sheetData>
    <row r="2" spans="2:9" ht="12.75" customHeight="1" x14ac:dyDescent="0.35">
      <c r="B2" s="7"/>
      <c r="C2" s="949" t="s">
        <v>70</v>
      </c>
      <c r="D2" s="949"/>
      <c r="E2" s="949"/>
      <c r="F2" s="949"/>
      <c r="G2" s="949"/>
      <c r="H2" s="949"/>
      <c r="I2" s="949"/>
    </row>
    <row r="3" spans="2:9" ht="12.75" customHeight="1" x14ac:dyDescent="0.35">
      <c r="B3" s="7"/>
      <c r="C3" s="950" t="s">
        <v>71</v>
      </c>
      <c r="D3" s="950"/>
      <c r="E3" s="950"/>
      <c r="F3" s="950"/>
      <c r="G3" s="950"/>
      <c r="H3" s="950"/>
      <c r="I3" s="950"/>
    </row>
    <row r="4" spans="2:9" ht="12.75" customHeight="1" x14ac:dyDescent="0.35">
      <c r="B4" s="7"/>
      <c r="C4" s="951"/>
      <c r="D4" s="951"/>
      <c r="E4" s="951"/>
      <c r="F4" s="951"/>
      <c r="G4" s="951"/>
      <c r="H4" s="951"/>
      <c r="I4" s="951"/>
    </row>
    <row r="5" spans="2:9" ht="12.75" customHeight="1" x14ac:dyDescent="0.3">
      <c r="B5" s="7"/>
      <c r="C5" s="119"/>
      <c r="D5" s="324"/>
      <c r="E5" s="324"/>
      <c r="F5" s="324"/>
      <c r="G5" s="324"/>
      <c r="H5" s="324"/>
      <c r="I5" s="324"/>
    </row>
    <row r="6" spans="2:9" ht="12.75" customHeight="1" x14ac:dyDescent="0.25">
      <c r="B6" s="7"/>
      <c r="C6" s="7"/>
      <c r="D6" s="7"/>
      <c r="E6" s="7"/>
      <c r="F6" s="7"/>
      <c r="G6" s="7"/>
      <c r="H6" s="7"/>
      <c r="I6" s="7"/>
    </row>
    <row r="7" spans="2:9" ht="21.75" customHeight="1" x14ac:dyDescent="0.35">
      <c r="B7" s="7"/>
      <c r="C7" s="1048" t="s">
        <v>547</v>
      </c>
      <c r="D7" s="1048"/>
      <c r="E7" s="1049" t="s">
        <v>548</v>
      </c>
      <c r="F7" s="1050"/>
      <c r="G7" s="1051"/>
      <c r="H7" s="1052"/>
      <c r="I7" s="7"/>
    </row>
    <row r="8" spans="2:9" ht="12.75" customHeight="1" x14ac:dyDescent="0.35">
      <c r="B8" s="7"/>
      <c r="C8" s="292"/>
      <c r="D8" s="7"/>
      <c r="E8" s="7"/>
      <c r="F8" s="7"/>
      <c r="G8" s="7"/>
      <c r="H8" s="7"/>
      <c r="I8" s="7"/>
    </row>
    <row r="9" spans="2:9" ht="12.75" customHeight="1" x14ac:dyDescent="0.25">
      <c r="B9" s="7"/>
      <c r="C9" s="7"/>
      <c r="D9" s="7"/>
      <c r="E9" s="7"/>
      <c r="F9" s="7"/>
      <c r="G9" s="7"/>
      <c r="H9" s="7"/>
      <c r="I9" s="7"/>
    </row>
    <row r="10" spans="2:9" ht="15" customHeight="1" x14ac:dyDescent="0.35">
      <c r="B10" s="550">
        <v>1</v>
      </c>
      <c r="C10" s="1042" t="s">
        <v>448</v>
      </c>
      <c r="D10" s="1042"/>
      <c r="E10" s="1042"/>
      <c r="F10" s="1042"/>
      <c r="G10" s="1042"/>
      <c r="H10" s="1042"/>
      <c r="I10" s="1042"/>
    </row>
    <row r="11" spans="2:9" ht="19.5" customHeight="1" x14ac:dyDescent="0.35">
      <c r="B11" s="551"/>
      <c r="C11" s="534" t="s">
        <v>449</v>
      </c>
      <c r="D11" s="521" t="s">
        <v>549</v>
      </c>
      <c r="E11" s="521" t="s">
        <v>550</v>
      </c>
      <c r="F11" s="521" t="s">
        <v>551</v>
      </c>
      <c r="G11" s="521" t="s">
        <v>528</v>
      </c>
      <c r="H11" s="521" t="s">
        <v>473</v>
      </c>
      <c r="I11" s="521" t="s">
        <v>454</v>
      </c>
    </row>
    <row r="12" spans="2:9" ht="15" customHeight="1" x14ac:dyDescent="0.35">
      <c r="B12" s="551"/>
      <c r="C12" s="42" t="s">
        <v>455</v>
      </c>
      <c r="D12" s="42">
        <f>'Anexo V - ano 1 a 10 - inicial'!D12</f>
        <v>1</v>
      </c>
      <c r="E12" s="42">
        <f>D12</f>
        <v>1</v>
      </c>
      <c r="F12" s="42">
        <f>E12-D12</f>
        <v>0</v>
      </c>
      <c r="G12" s="474">
        <f>'Anexo V - ano 1 a 10 - inicial'!F12</f>
        <v>104487.86</v>
      </c>
      <c r="H12" s="512">
        <f>F12*G12</f>
        <v>0</v>
      </c>
      <c r="I12" s="512">
        <f>H12*10/100</f>
        <v>0</v>
      </c>
    </row>
    <row r="13" spans="2:9" ht="15" customHeight="1" x14ac:dyDescent="0.35">
      <c r="B13" s="551"/>
      <c r="C13" s="42" t="s">
        <v>456</v>
      </c>
      <c r="D13" s="42">
        <f>'Anexo V - ano 1 a 10 - inicial'!D13</f>
        <v>0</v>
      </c>
      <c r="E13" s="42">
        <v>0</v>
      </c>
      <c r="F13" s="42">
        <f t="shared" ref="F13:F29" si="0">E13-D13</f>
        <v>0</v>
      </c>
      <c r="G13" s="474">
        <f>'Anexo V - ano 1 a 10 - inicial'!E13</f>
        <v>0</v>
      </c>
      <c r="H13" s="512">
        <f>F13*G13</f>
        <v>0</v>
      </c>
      <c r="I13" s="512">
        <f>H13*10/100</f>
        <v>0</v>
      </c>
    </row>
    <row r="14" spans="2:9" ht="15" customHeight="1" x14ac:dyDescent="0.35">
      <c r="B14" s="551"/>
      <c r="C14" s="42" t="str">
        <f>'Memoria-equipamentoXfuncionario'!D31</f>
        <v>Reach Stacker</v>
      </c>
      <c r="D14" s="42">
        <f>'Anexo V - ano 1 a 10 - inicial'!D14</f>
        <v>1</v>
      </c>
      <c r="E14" s="42">
        <v>2</v>
      </c>
      <c r="F14" s="42">
        <f t="shared" si="0"/>
        <v>1</v>
      </c>
      <c r="G14" s="474">
        <f>'Anexo V - ano 1 a 10 - inicial'!E14</f>
        <v>1126791</v>
      </c>
      <c r="H14" s="512">
        <f>F14*G14</f>
        <v>1126791</v>
      </c>
      <c r="I14" s="512">
        <f>H14*10/100</f>
        <v>112679.1</v>
      </c>
    </row>
    <row r="15" spans="2:9" ht="15" customHeight="1" x14ac:dyDescent="0.35">
      <c r="B15" s="551"/>
      <c r="C15" s="42" t="str">
        <f>'Memoria-equipamentoXfuncionario'!E31</f>
        <v>Empilhadeira 3t</v>
      </c>
      <c r="D15" s="42">
        <f>'Anexo V - ano 1 a 10 - inicial'!D15</f>
        <v>3</v>
      </c>
      <c r="E15" s="42">
        <v>4</v>
      </c>
      <c r="F15" s="42">
        <f t="shared" si="0"/>
        <v>1</v>
      </c>
      <c r="G15" s="474">
        <f>'Anexo V - ano 1 a 10 - inicial'!E15</f>
        <v>120000</v>
      </c>
      <c r="H15" s="512">
        <f>F15*G15</f>
        <v>120000</v>
      </c>
      <c r="I15" s="512">
        <f>H15*10/100</f>
        <v>12000</v>
      </c>
    </row>
    <row r="16" spans="2:9" ht="15" customHeight="1" x14ac:dyDescent="0.35">
      <c r="B16" s="551"/>
      <c r="C16" s="42" t="str">
        <f>'Memoria-equipamentoXfuncionario'!F31</f>
        <v>Empilhadeira 6t</v>
      </c>
      <c r="D16" s="42">
        <f>'Anexo V - ano 1 a 10 - inicial'!D16</f>
        <v>1</v>
      </c>
      <c r="E16" s="42">
        <v>1</v>
      </c>
      <c r="F16" s="42">
        <f t="shared" si="0"/>
        <v>0</v>
      </c>
      <c r="G16" s="474">
        <f>'Anexo V - ano 1 a 10 - inicial'!E16</f>
        <v>516000</v>
      </c>
      <c r="H16" s="512">
        <f t="shared" ref="H16:H29" si="1">F16*G16</f>
        <v>0</v>
      </c>
      <c r="I16" s="512">
        <f t="shared" ref="I16:I30" si="2">H16*10/100</f>
        <v>0</v>
      </c>
    </row>
    <row r="17" spans="2:9" ht="15" customHeight="1" x14ac:dyDescent="0.35">
      <c r="B17" s="551"/>
      <c r="C17" s="42" t="str">
        <f>'Memória-manutenção'!H10</f>
        <v>Empilhadeira 7t</v>
      </c>
      <c r="D17" s="42">
        <f>'Anexo V - ano 1 a 10 - inicial'!D17</f>
        <v>1</v>
      </c>
      <c r="E17" s="42">
        <v>1</v>
      </c>
      <c r="F17" s="42">
        <f t="shared" si="0"/>
        <v>0</v>
      </c>
      <c r="G17" s="474">
        <f>'Anexo V - ano 1 a 10 - inicial'!E17</f>
        <v>606000</v>
      </c>
      <c r="H17" s="512">
        <f t="shared" si="1"/>
        <v>0</v>
      </c>
      <c r="I17" s="512">
        <f t="shared" si="2"/>
        <v>0</v>
      </c>
    </row>
    <row r="18" spans="2:9" ht="15" customHeight="1" x14ac:dyDescent="0.35">
      <c r="B18" s="551"/>
      <c r="C18" s="42" t="str">
        <f>'Memória-manutenção'!I10</f>
        <v>Empilhadeira 16t</v>
      </c>
      <c r="D18" s="42">
        <f>'Anexo V - ano 1 a 10 - inicial'!D18</f>
        <v>1</v>
      </c>
      <c r="E18" s="42">
        <v>1</v>
      </c>
      <c r="F18" s="42">
        <f t="shared" si="0"/>
        <v>0</v>
      </c>
      <c r="G18" s="474">
        <f>'Anexo V - ano 1 a 10 - inicial'!E18</f>
        <v>1124390</v>
      </c>
      <c r="H18" s="512">
        <f t="shared" si="1"/>
        <v>0</v>
      </c>
      <c r="I18" s="512">
        <f t="shared" si="2"/>
        <v>0</v>
      </c>
    </row>
    <row r="19" spans="2:9" ht="15" customHeight="1" x14ac:dyDescent="0.35">
      <c r="B19" s="551"/>
      <c r="C19" s="42" t="s">
        <v>457</v>
      </c>
      <c r="D19" s="42">
        <f>'Anexo V - ano 1 a 10 - inicial'!D19</f>
        <v>4</v>
      </c>
      <c r="E19" s="42">
        <v>8</v>
      </c>
      <c r="F19" s="42">
        <f t="shared" si="0"/>
        <v>4</v>
      </c>
      <c r="G19" s="474">
        <f>'Anexo V - ano 1 a 10 - inicial'!E19</f>
        <v>2150</v>
      </c>
      <c r="H19" s="512">
        <f>F19*G19</f>
        <v>8600</v>
      </c>
      <c r="I19" s="512">
        <f t="shared" si="2"/>
        <v>860</v>
      </c>
    </row>
    <row r="20" spans="2:9" ht="15" customHeight="1" x14ac:dyDescent="0.35">
      <c r="B20" s="551"/>
      <c r="C20" s="42" t="s">
        <v>458</v>
      </c>
      <c r="D20" s="42">
        <f>'Anexo V - ano 1 a 10 - inicial'!D20</f>
        <v>6</v>
      </c>
      <c r="E20" s="42">
        <v>6</v>
      </c>
      <c r="F20" s="42">
        <f t="shared" si="0"/>
        <v>0</v>
      </c>
      <c r="G20" s="474">
        <f>'Anexo V - ano 1 a 10 - inicial'!E20</f>
        <v>8250</v>
      </c>
      <c r="H20" s="512">
        <f t="shared" si="1"/>
        <v>0</v>
      </c>
      <c r="I20" s="512">
        <f t="shared" si="2"/>
        <v>0</v>
      </c>
    </row>
    <row r="21" spans="2:9" ht="15" customHeight="1" x14ac:dyDescent="0.35">
      <c r="B21" s="551"/>
      <c r="C21" s="42" t="s">
        <v>459</v>
      </c>
      <c r="D21" s="42">
        <f>'Anexo V - ano 1 a 10 - inicial'!D21</f>
        <v>1</v>
      </c>
      <c r="E21" s="42">
        <v>2</v>
      </c>
      <c r="F21" s="42">
        <f t="shared" si="0"/>
        <v>1</v>
      </c>
      <c r="G21" s="474">
        <f>'Anexo V - ano 1 a 10 - inicial'!E21</f>
        <v>875</v>
      </c>
      <c r="H21" s="512">
        <f t="shared" si="1"/>
        <v>875</v>
      </c>
      <c r="I21" s="512">
        <f t="shared" si="2"/>
        <v>87.5</v>
      </c>
    </row>
    <row r="22" spans="2:9" ht="15" customHeight="1" x14ac:dyDescent="0.35">
      <c r="B22" s="551"/>
      <c r="C22" s="42" t="s">
        <v>460</v>
      </c>
      <c r="D22" s="42">
        <f>'Anexo V - ano 1 a 10 - inicial'!D22</f>
        <v>1</v>
      </c>
      <c r="E22" s="42">
        <v>2</v>
      </c>
      <c r="F22" s="42">
        <f t="shared" si="0"/>
        <v>1</v>
      </c>
      <c r="G22" s="474">
        <f>'Anexo V - ano 1 a 10 - inicial'!E22</f>
        <v>1250</v>
      </c>
      <c r="H22" s="512">
        <f t="shared" si="1"/>
        <v>1250</v>
      </c>
      <c r="I22" s="512">
        <f t="shared" si="2"/>
        <v>125</v>
      </c>
    </row>
    <row r="23" spans="2:9" ht="15" customHeight="1" x14ac:dyDescent="0.35">
      <c r="B23" s="551"/>
      <c r="C23" s="42" t="s">
        <v>461</v>
      </c>
      <c r="D23" s="42">
        <f>'Anexo V - ano 1 a 10 - inicial'!D23</f>
        <v>1</v>
      </c>
      <c r="E23" s="42">
        <v>2</v>
      </c>
      <c r="F23" s="42">
        <f t="shared" si="0"/>
        <v>1</v>
      </c>
      <c r="G23" s="474">
        <f>'Anexo V - ano 1 a 10 - inicial'!E23</f>
        <v>2850</v>
      </c>
      <c r="H23" s="512">
        <f t="shared" si="1"/>
        <v>2850</v>
      </c>
      <c r="I23" s="512">
        <f t="shared" si="2"/>
        <v>285</v>
      </c>
    </row>
    <row r="24" spans="2:9" ht="15" customHeight="1" x14ac:dyDescent="0.35">
      <c r="B24" s="551"/>
      <c r="C24" s="42" t="s">
        <v>462</v>
      </c>
      <c r="D24" s="42">
        <f>'Anexo V - ano 1 a 10 - inicial'!D24</f>
        <v>2</v>
      </c>
      <c r="E24" s="42">
        <v>4</v>
      </c>
      <c r="F24" s="42">
        <f t="shared" si="0"/>
        <v>2</v>
      </c>
      <c r="G24" s="474">
        <f>'Anexo V - ano 1 a 10 - inicial'!E24</f>
        <v>3700</v>
      </c>
      <c r="H24" s="512">
        <f t="shared" si="1"/>
        <v>7400</v>
      </c>
      <c r="I24" s="512">
        <f t="shared" si="2"/>
        <v>740</v>
      </c>
    </row>
    <row r="25" spans="2:9" ht="15" customHeight="1" x14ac:dyDescent="0.35">
      <c r="B25" s="551"/>
      <c r="C25" s="477" t="s">
        <v>463</v>
      </c>
      <c r="D25" s="42">
        <f>'Anexo V - ano 1 a 10 - inicial'!D25</f>
        <v>1</v>
      </c>
      <c r="E25" s="42">
        <f t="shared" ref="E25:E28" si="3">D25</f>
        <v>1</v>
      </c>
      <c r="F25" s="42">
        <f t="shared" si="0"/>
        <v>0</v>
      </c>
      <c r="G25" s="474">
        <f>'Anexo V - ano 1 a 10 - inicial'!E25</f>
        <v>125000</v>
      </c>
      <c r="H25" s="512">
        <f t="shared" si="1"/>
        <v>0</v>
      </c>
      <c r="I25" s="512">
        <f t="shared" si="2"/>
        <v>0</v>
      </c>
    </row>
    <row r="26" spans="2:9" ht="15" customHeight="1" x14ac:dyDescent="0.35">
      <c r="B26" s="551"/>
      <c r="C26" s="477" t="s">
        <v>464</v>
      </c>
      <c r="D26" s="42">
        <f>'Anexo V - ano 1 a 10 - inicial'!D26</f>
        <v>1</v>
      </c>
      <c r="E26" s="42">
        <f t="shared" si="3"/>
        <v>1</v>
      </c>
      <c r="F26" s="42">
        <f t="shared" si="0"/>
        <v>0</v>
      </c>
      <c r="G26" s="474">
        <f>'Anexo V - ano 1 a 10 - inicial'!E26</f>
        <v>325000</v>
      </c>
      <c r="H26" s="512">
        <f t="shared" si="1"/>
        <v>0</v>
      </c>
      <c r="I26" s="512">
        <f t="shared" si="2"/>
        <v>0</v>
      </c>
    </row>
    <row r="27" spans="2:9" ht="15" customHeight="1" x14ac:dyDescent="0.35">
      <c r="B27" s="551"/>
      <c r="C27" s="42" t="s">
        <v>465</v>
      </c>
      <c r="D27" s="42">
        <f>'Anexo V - ano 1 a 10 - inicial'!D27</f>
        <v>1</v>
      </c>
      <c r="E27" s="42">
        <f t="shared" si="3"/>
        <v>1</v>
      </c>
      <c r="F27" s="42">
        <f t="shared" si="0"/>
        <v>0</v>
      </c>
      <c r="G27" s="474">
        <f>'Anexo V - ano 1 a 10 - inicial'!E27</f>
        <v>86250</v>
      </c>
      <c r="H27" s="512">
        <f t="shared" si="1"/>
        <v>0</v>
      </c>
      <c r="I27" s="512">
        <f t="shared" si="2"/>
        <v>0</v>
      </c>
    </row>
    <row r="28" spans="2:9" ht="15" customHeight="1" x14ac:dyDescent="0.35">
      <c r="B28" s="551"/>
      <c r="C28" s="857" t="s">
        <v>466</v>
      </c>
      <c r="D28" s="857">
        <f>'Anexo V - ano 1 a 10 - inicial'!D28</f>
        <v>1</v>
      </c>
      <c r="E28" s="857">
        <f t="shared" si="3"/>
        <v>1</v>
      </c>
      <c r="F28" s="857">
        <f t="shared" si="0"/>
        <v>0</v>
      </c>
      <c r="G28" s="897">
        <f>'Anexo V - ano 1 a 10 - inicial'!E28</f>
        <v>1500000</v>
      </c>
      <c r="H28" s="898">
        <v>0</v>
      </c>
      <c r="I28" s="898">
        <f t="shared" si="2"/>
        <v>0</v>
      </c>
    </row>
    <row r="29" spans="2:9" ht="15" customHeight="1" x14ac:dyDescent="0.35">
      <c r="B29" s="551"/>
      <c r="C29" s="42" t="s">
        <v>467</v>
      </c>
      <c r="D29" s="42">
        <f>'Anexo V - ano 1 a 10 - inicial'!D29</f>
        <v>1</v>
      </c>
      <c r="E29" s="552">
        <v>1</v>
      </c>
      <c r="F29" s="42">
        <f t="shared" si="0"/>
        <v>0</v>
      </c>
      <c r="G29" s="474">
        <f>'Anexo V - ano 1 a 10 - inicial'!E29</f>
        <v>385000</v>
      </c>
      <c r="H29" s="512">
        <f t="shared" si="1"/>
        <v>0</v>
      </c>
      <c r="I29" s="512">
        <f t="shared" si="2"/>
        <v>0</v>
      </c>
    </row>
    <row r="30" spans="2:9" ht="15" customHeight="1" thickBot="1" x14ac:dyDescent="0.4">
      <c r="B30" s="551"/>
      <c r="C30" s="479" t="s">
        <v>468</v>
      </c>
      <c r="D30" s="553"/>
      <c r="E30" s="553"/>
      <c r="F30" s="553"/>
      <c r="G30" s="481"/>
      <c r="H30" s="517">
        <f>SUM(H16)*E33</f>
        <v>0</v>
      </c>
      <c r="I30" s="517">
        <f t="shared" si="2"/>
        <v>0</v>
      </c>
    </row>
    <row r="31" spans="2:9" ht="15" customHeight="1" x14ac:dyDescent="0.35">
      <c r="B31" s="551"/>
      <c r="C31" s="483" t="s">
        <v>265</v>
      </c>
      <c r="D31" s="547"/>
      <c r="E31" s="547"/>
      <c r="F31" s="1029"/>
      <c r="G31" s="1029"/>
      <c r="H31" s="484">
        <f>SUM(H12:H30)-H15</f>
        <v>1147766</v>
      </c>
      <c r="I31" s="484">
        <f>SUM(I12:I30)</f>
        <v>126776.6</v>
      </c>
    </row>
    <row r="33" spans="2:9" ht="15" customHeight="1" x14ac:dyDescent="0.35">
      <c r="B33" s="551"/>
      <c r="C33" s="7"/>
      <c r="D33" s="554" t="s">
        <v>469</v>
      </c>
      <c r="E33" s="486">
        <v>0.15</v>
      </c>
      <c r="F33" s="7"/>
      <c r="G33" s="7"/>
      <c r="H33" s="309"/>
      <c r="I33" s="309"/>
    </row>
    <row r="34" spans="2:9" ht="15" customHeight="1" x14ac:dyDescent="0.35">
      <c r="B34" s="551"/>
      <c r="C34" s="7"/>
      <c r="D34" s="411"/>
      <c r="E34" s="7"/>
      <c r="F34" s="7"/>
      <c r="G34" s="7"/>
      <c r="H34" s="309"/>
      <c r="I34" s="309"/>
    </row>
    <row r="35" spans="2:9" ht="12.75" customHeight="1" x14ac:dyDescent="0.35">
      <c r="B35" s="555">
        <v>2</v>
      </c>
      <c r="C35" s="1044" t="s">
        <v>470</v>
      </c>
      <c r="D35" s="1044"/>
      <c r="E35" s="1044"/>
      <c r="F35" s="1044"/>
      <c r="G35" s="1044"/>
      <c r="H35" s="1044"/>
      <c r="I35" s="1044"/>
    </row>
    <row r="36" spans="2:9" ht="15" customHeight="1" x14ac:dyDescent="0.35">
      <c r="B36" s="551"/>
      <c r="C36" s="556" t="s">
        <v>449</v>
      </c>
      <c r="D36" s="521" t="s">
        <v>549</v>
      </c>
      <c r="E36" s="521" t="s">
        <v>550</v>
      </c>
      <c r="F36" s="521" t="s">
        <v>551</v>
      </c>
      <c r="G36" s="557" t="s">
        <v>552</v>
      </c>
      <c r="H36" s="557" t="s">
        <v>473</v>
      </c>
      <c r="I36" s="557" t="s">
        <v>553</v>
      </c>
    </row>
    <row r="37" spans="2:9" ht="15" customHeight="1" x14ac:dyDescent="0.35">
      <c r="B37" s="551"/>
      <c r="C37" s="558" t="str">
        <f>'Anexo V - ano 1 a 10 - inicial'!C37</f>
        <v>Estacionamento RFB/demais órgãos e Permissionária</v>
      </c>
      <c r="D37" s="559">
        <f>'Anexo V - ano 1 a 10 - inicial'!D37</f>
        <v>1350</v>
      </c>
      <c r="E37" s="559">
        <f>D37</f>
        <v>1350</v>
      </c>
      <c r="F37" s="560">
        <v>0</v>
      </c>
      <c r="G37" s="563">
        <f>'Anexo V - ano 1 a 10 - inicial'!E37</f>
        <v>343.75</v>
      </c>
      <c r="H37" s="493">
        <f>'Anexo V - ano 1 a 10 - inicial'!H37</f>
        <v>0</v>
      </c>
      <c r="I37" s="493">
        <f t="shared" ref="I37:I40" si="4">H37*5/100</f>
        <v>0</v>
      </c>
    </row>
    <row r="38" spans="2:9" ht="24.75" customHeight="1" x14ac:dyDescent="0.35">
      <c r="B38" s="551"/>
      <c r="C38" s="491" t="str">
        <f>'Anexo V - ano 1 a 10 - inicial'!C38</f>
        <v>Armazem (área para : carga geral, guarda de amostras, guarda de mercadoria apreendida...) (m²)</v>
      </c>
      <c r="D38" s="561">
        <f>'Anexo V - ano 1 a 10 - inicial'!D38</f>
        <v>5360.4055761729142</v>
      </c>
      <c r="E38" s="562">
        <f>'Anexo IV - ano 11 a 15'!C27-E40</f>
        <v>7187.9395241358743</v>
      </c>
      <c r="F38" s="28">
        <f>E38-D38</f>
        <v>1827.5339479629602</v>
      </c>
      <c r="G38" s="733">
        <f>'Anexo V - ano 1 a 10 - inicial'!E38</f>
        <v>2544.8000000000002</v>
      </c>
      <c r="H38" s="493">
        <f>F38*G38</f>
        <v>4650708.3907761415</v>
      </c>
      <c r="I38" s="493">
        <f>H38*5/100</f>
        <v>232535.41953880709</v>
      </c>
    </row>
    <row r="39" spans="2:9" ht="15" customHeight="1" x14ac:dyDescent="0.35">
      <c r="B39" s="551"/>
      <c r="C39" s="491" t="str">
        <f>'Anexo V - ano 1 a 10 - inicial'!C39</f>
        <v>Pátio (incluindo área de estacionamento e “pulmão”  para estacionamento de caminhões antes da entrada no recinto) (m²)</v>
      </c>
      <c r="D39" s="561">
        <f>'Anexo V - ano 1 a 10 - inicial'!D39</f>
        <v>28822.940926896415</v>
      </c>
      <c r="E39" s="562">
        <f>'Anexo IV - ano 11 a 15'!D38</f>
        <v>35428.804263788312</v>
      </c>
      <c r="F39" s="28">
        <f>E39-D39</f>
        <v>6605.8633368918963</v>
      </c>
      <c r="G39" s="563">
        <f>'Anexo V - ano 1 a 10 - inicial'!E39</f>
        <v>423.54</v>
      </c>
      <c r="H39" s="493">
        <f>F39*G39</f>
        <v>2797847.3577071941</v>
      </c>
      <c r="I39" s="493">
        <f>H39*5/100</f>
        <v>139892.36788535971</v>
      </c>
    </row>
    <row r="40" spans="2:9" ht="14.25" customHeight="1" x14ac:dyDescent="0.35">
      <c r="B40" s="551"/>
      <c r="C40" s="491" t="str">
        <f>'Anexo V - ano 1 a 10 - inicial'!C40</f>
        <v>Área para conferência/guarda de mercadorias refrigeradas</v>
      </c>
      <c r="D40" s="561">
        <f>'Anexo V - ano 1 a 10 - inicial'!D40</f>
        <v>0</v>
      </c>
      <c r="E40" s="562">
        <f>'Anexo IV - ano 11 a 15'!C25</f>
        <v>0</v>
      </c>
      <c r="F40" s="28">
        <f t="shared" ref="F40:F41" si="5">E40-D40</f>
        <v>0</v>
      </c>
      <c r="G40" s="563">
        <f>'Anexo V - ano 1 a 10 - inicial'!E40</f>
        <v>8312.5</v>
      </c>
      <c r="H40" s="493">
        <f t="shared" ref="H40" si="6">F40*G40</f>
        <v>0</v>
      </c>
      <c r="I40" s="493">
        <f t="shared" si="4"/>
        <v>0</v>
      </c>
    </row>
    <row r="41" spans="2:9" ht="15" customHeight="1" x14ac:dyDescent="0.25">
      <c r="B41" s="7"/>
      <c r="C41" s="491" t="str">
        <f>'Anexo V - ano 1 a 10 - inicial'!C41</f>
        <v xml:space="preserve">Iluminação de pátio, com posteamento de quatro refletores a cada 1000 m² </v>
      </c>
      <c r="D41" s="562">
        <f>'Anexo V - ano 1 a 10 - inicial'!D41</f>
        <v>16</v>
      </c>
      <c r="E41" s="491">
        <f>ROUND('Anexo IV - ano 11 a 15'!D29/1000,0)</f>
        <v>20</v>
      </c>
      <c r="F41" s="28">
        <f t="shared" si="5"/>
        <v>4</v>
      </c>
      <c r="G41" s="563">
        <f>'Anexo V - ano 1 a 10 - inicial'!E41</f>
        <v>9312.5</v>
      </c>
      <c r="H41" s="493">
        <f>F41*G41</f>
        <v>37250</v>
      </c>
      <c r="I41" s="493">
        <f>H41*5/100</f>
        <v>1862.5</v>
      </c>
    </row>
    <row r="42" spans="2:9" ht="15" customHeight="1" x14ac:dyDescent="0.35">
      <c r="B42" s="551"/>
      <c r="C42" s="491" t="str">
        <f>'Anexo V - ano 1 a 10 - inicial'!C42</f>
        <v>Área administrativa - escritórios</v>
      </c>
      <c r="D42" s="561">
        <f>'Anexo V - ano 1 a 10 - inicial'!D42</f>
        <v>838.25</v>
      </c>
      <c r="E42" s="562">
        <f>'Anexo IV - ano 11 a 15'!D46-E37</f>
        <v>1215</v>
      </c>
      <c r="F42" s="28">
        <f>E42-D42</f>
        <v>376.75</v>
      </c>
      <c r="G42" s="733">
        <f>'Anexo V - ano 1 a 10 - inicial'!E42</f>
        <v>2859.63</v>
      </c>
      <c r="H42" s="493">
        <f>F42*G42</f>
        <v>1077365.6025</v>
      </c>
      <c r="I42" s="493">
        <f>H42*5/100</f>
        <v>53868.280125000005</v>
      </c>
    </row>
    <row r="43" spans="2:9" ht="15" customHeight="1" x14ac:dyDescent="0.35">
      <c r="B43" s="551"/>
      <c r="C43" s="491" t="str">
        <f>'Anexo V - ano 1 a 10 - inicial'!C43</f>
        <v>Cercamento (m)</v>
      </c>
      <c r="D43" s="561">
        <f>'Anexo V - ano 1 a 10 - inicial'!D43</f>
        <v>762.85355347478674</v>
      </c>
      <c r="E43" s="562">
        <f>SQRT('Anexo IV - ano 11 a 15'!D49)*4</f>
        <v>850.23990767711382</v>
      </c>
      <c r="F43" s="28">
        <f>E43-D43</f>
        <v>87.386354202327084</v>
      </c>
      <c r="G43" s="563">
        <f>'Anexo V - ano 1 a 10 - inicial'!E43</f>
        <v>268.75</v>
      </c>
      <c r="H43" s="493">
        <f>F43*G43</f>
        <v>23485.082691875403</v>
      </c>
      <c r="I43" s="493">
        <f>H43*5/100</f>
        <v>1174.2541345937702</v>
      </c>
    </row>
    <row r="44" spans="2:9" ht="15" customHeight="1" x14ac:dyDescent="0.35">
      <c r="B44" s="551" t="s">
        <v>263</v>
      </c>
      <c r="C44" s="491" t="str">
        <f>'Anexo V - ano 1 a 10 - inicial'!C44</f>
        <v>Outras despesas com obras (diversos, estimados em 20%)</v>
      </c>
      <c r="D44" s="561"/>
      <c r="E44" s="562"/>
      <c r="F44" s="28"/>
      <c r="G44" s="491"/>
      <c r="H44" s="493">
        <f>SUM(H37:H43)*E51</f>
        <v>1717331.2867350427</v>
      </c>
      <c r="I44" s="493">
        <f>H44*5/100</f>
        <v>85866.564336752126</v>
      </c>
    </row>
    <row r="45" spans="2:9" ht="15" customHeight="1" x14ac:dyDescent="0.35">
      <c r="B45" s="551"/>
      <c r="C45" s="491" t="str">
        <f>'Anexo V - ano 1 a 10 - inicial'!C45</f>
        <v>Projeto conceitual, básico, executivo e licenças (estimado em 6% do valor da obra)</v>
      </c>
      <c r="D45" s="564"/>
      <c r="E45" s="565"/>
      <c r="F45" s="566"/>
      <c r="G45" s="496"/>
      <c r="H45" s="498">
        <f>SUM(H37:H44)*0.06</f>
        <v>618239.26322461537</v>
      </c>
      <c r="I45" s="498">
        <f>H45*5/100</f>
        <v>30911.963161230768</v>
      </c>
    </row>
    <row r="46" spans="2:9" ht="15" customHeight="1" x14ac:dyDescent="0.35">
      <c r="B46" s="551"/>
      <c r="C46" s="483" t="s">
        <v>265</v>
      </c>
      <c r="D46" s="567"/>
      <c r="E46" s="567"/>
      <c r="F46" s="568"/>
      <c r="G46" s="569"/>
      <c r="H46" s="501">
        <f>SUM(H37:H45)</f>
        <v>10922226.98363487</v>
      </c>
      <c r="I46" s="501">
        <f>SUM(I37:I45)</f>
        <v>546111.34918174346</v>
      </c>
    </row>
    <row r="47" spans="2:9" ht="12.75" customHeight="1" x14ac:dyDescent="0.35">
      <c r="B47" s="551"/>
      <c r="C47" s="570" t="str">
        <f>'Anexo V - ano 1 a 10 - inicial'!C47</f>
        <v>https://www.sinduscon-rio.com.br</v>
      </c>
      <c r="D47" s="571"/>
      <c r="E47" s="571"/>
      <c r="F47" s="572"/>
      <c r="G47" s="503"/>
      <c r="H47" s="503"/>
      <c r="I47" s="7"/>
    </row>
    <row r="48" spans="2:9" ht="12.75" customHeight="1" x14ac:dyDescent="0.35">
      <c r="B48" s="551"/>
      <c r="C48" s="504" t="s">
        <v>484</v>
      </c>
      <c r="D48" s="573">
        <v>1272.49</v>
      </c>
      <c r="E48" s="573">
        <v>1272.49</v>
      </c>
      <c r="F48" s="573">
        <v>1272.49</v>
      </c>
      <c r="G48" s="503"/>
      <c r="H48" s="7"/>
      <c r="I48" s="7"/>
    </row>
    <row r="49" spans="2:9" ht="12.75" customHeight="1" x14ac:dyDescent="0.35">
      <c r="B49" s="551"/>
      <c r="C49" s="505" t="s">
        <v>485</v>
      </c>
      <c r="D49" s="575">
        <v>2859.63</v>
      </c>
      <c r="E49" s="575">
        <v>2859.63</v>
      </c>
      <c r="F49" s="575">
        <v>2859.63</v>
      </c>
      <c r="G49" s="503"/>
      <c r="H49" s="577" t="s">
        <v>554</v>
      </c>
      <c r="I49" s="578">
        <f>'Anexo VII - fluxo de caixa'!$C$59</f>
        <v>2395352.0481571849</v>
      </c>
    </row>
    <row r="50" spans="2:9" ht="12.75" customHeight="1" x14ac:dyDescent="0.35">
      <c r="B50" s="551"/>
      <c r="C50" s="506"/>
      <c r="D50" s="579"/>
      <c r="E50" s="579"/>
      <c r="F50" s="579"/>
      <c r="G50" s="503"/>
      <c r="H50" s="580" t="s">
        <v>555</v>
      </c>
      <c r="I50" s="581">
        <f>'Anexo VII - fluxo de caixa'!$C$60</f>
        <v>0.11965586373924286</v>
      </c>
    </row>
    <row r="51" spans="2:9" ht="12.75" customHeight="1" x14ac:dyDescent="0.35">
      <c r="B51" s="551"/>
      <c r="C51" s="506"/>
      <c r="D51" s="554" t="s">
        <v>486</v>
      </c>
      <c r="E51" s="486">
        <v>0.2</v>
      </c>
      <c r="F51" s="579"/>
      <c r="G51" s="503"/>
      <c r="H51" s="580" t="s">
        <v>556</v>
      </c>
      <c r="I51" s="582">
        <f>'Anexo VIII - tarifas'!$J$24</f>
        <v>0.27149999999999996</v>
      </c>
    </row>
    <row r="52" spans="2:9" ht="12.75" customHeight="1" x14ac:dyDescent="0.35">
      <c r="B52" s="551"/>
      <c r="C52" s="506"/>
      <c r="D52" s="579"/>
      <c r="E52" s="579"/>
      <c r="F52" s="579"/>
      <c r="G52" s="503"/>
      <c r="H52" s="583" t="s">
        <v>557</v>
      </c>
      <c r="I52" s="584">
        <f>'Anexo VIII - tarifas'!$J$26</f>
        <v>26.3292</v>
      </c>
    </row>
    <row r="53" spans="2:9" ht="12.75" customHeight="1" x14ac:dyDescent="0.35">
      <c r="B53" s="551"/>
      <c r="C53" s="506"/>
      <c r="D53" s="579"/>
      <c r="E53" s="579"/>
      <c r="F53" s="579"/>
      <c r="G53" s="503"/>
      <c r="H53" s="7"/>
      <c r="I53" s="180"/>
    </row>
    <row r="54" spans="2:9" ht="15" customHeight="1" x14ac:dyDescent="0.35">
      <c r="B54" s="550">
        <v>3</v>
      </c>
      <c r="C54" s="1042" t="s">
        <v>489</v>
      </c>
      <c r="D54" s="1042"/>
      <c r="E54" s="1042"/>
      <c r="F54" s="1042"/>
      <c r="G54" s="1042"/>
      <c r="H54" s="1042"/>
      <c r="I54" s="1042"/>
    </row>
    <row r="55" spans="2:9" ht="15" customHeight="1" x14ac:dyDescent="0.35">
      <c r="B55" s="551"/>
      <c r="C55" s="534" t="s">
        <v>449</v>
      </c>
      <c r="D55" s="585" t="s">
        <v>549</v>
      </c>
      <c r="E55" s="521" t="s">
        <v>550</v>
      </c>
      <c r="F55" s="521" t="s">
        <v>551</v>
      </c>
      <c r="G55" s="521" t="s">
        <v>528</v>
      </c>
      <c r="H55" s="521" t="s">
        <v>473</v>
      </c>
      <c r="I55" s="521" t="s">
        <v>454</v>
      </c>
    </row>
    <row r="56" spans="2:9" ht="15" customHeight="1" x14ac:dyDescent="0.35">
      <c r="B56" s="551"/>
      <c r="C56" s="42" t="str">
        <f>'Anexo V - ano 1 a 10 - inicial'!C56</f>
        <v>Armário de Madeira</v>
      </c>
      <c r="D56" s="42">
        <f>'Anexo V - ano 1 a 10 - inicial'!D56</f>
        <v>4</v>
      </c>
      <c r="E56" s="42">
        <f>D56</f>
        <v>4</v>
      </c>
      <c r="F56" s="42">
        <v>0</v>
      </c>
      <c r="G56" s="478">
        <f>'Anexo V - ano 1 a 10 - inicial'!F56</f>
        <v>1588.03855</v>
      </c>
      <c r="H56" s="512">
        <f t="shared" ref="H56:H70" si="7">F56*G56</f>
        <v>0</v>
      </c>
      <c r="I56" s="512">
        <f t="shared" ref="I56:I72" si="8">H56*10/100</f>
        <v>0</v>
      </c>
    </row>
    <row r="57" spans="2:9" ht="15" customHeight="1" x14ac:dyDescent="0.35">
      <c r="B57" s="551"/>
      <c r="C57" s="42" t="str">
        <f>'Anexo V - ano 1 a 10 - inicial'!C57</f>
        <v>Mesa (Estação de Trabalho)</v>
      </c>
      <c r="D57" s="42">
        <f>'Anexo V - ano 1 a 10 - inicial'!D57</f>
        <v>4</v>
      </c>
      <c r="E57" s="42">
        <f>D57</f>
        <v>4</v>
      </c>
      <c r="F57" s="42">
        <v>0</v>
      </c>
      <c r="G57" s="478">
        <f>'Anexo V - ano 1 a 10 - inicial'!F57</f>
        <v>703.85966699999994</v>
      </c>
      <c r="H57" s="512">
        <f t="shared" si="7"/>
        <v>0</v>
      </c>
      <c r="I57" s="512">
        <f t="shared" si="8"/>
        <v>0</v>
      </c>
    </row>
    <row r="58" spans="2:9" ht="15" customHeight="1" x14ac:dyDescent="0.35">
      <c r="B58" s="551"/>
      <c r="C58" s="42" t="str">
        <f>'Anexo V - ano 1 a 10 - inicial'!C58</f>
        <v>Mesa de Reunião</v>
      </c>
      <c r="D58" s="42">
        <f>'Anexo V - ano 1 a 10 - inicial'!D58</f>
        <v>1</v>
      </c>
      <c r="E58" s="42">
        <f t="shared" ref="E58:E70" si="9">D58</f>
        <v>1</v>
      </c>
      <c r="F58" s="42">
        <v>0</v>
      </c>
      <c r="G58" s="478">
        <f>'Anexo V - ano 1 a 10 - inicial'!F58</f>
        <v>973.31394999999998</v>
      </c>
      <c r="H58" s="512">
        <f t="shared" si="7"/>
        <v>0</v>
      </c>
      <c r="I58" s="512">
        <f t="shared" si="8"/>
        <v>0</v>
      </c>
    </row>
    <row r="59" spans="2:9" ht="15" customHeight="1" x14ac:dyDescent="0.35">
      <c r="B59" s="551"/>
      <c r="C59" s="42" t="str">
        <f>'Anexo V - ano 1 a 10 - inicial'!C59</f>
        <v>Cadeiras Giratórias</v>
      </c>
      <c r="D59" s="42">
        <f>'Anexo V - ano 1 a 10 - inicial'!D59</f>
        <v>4</v>
      </c>
      <c r="E59" s="42">
        <f>D59</f>
        <v>4</v>
      </c>
      <c r="F59" s="42">
        <v>0</v>
      </c>
      <c r="G59" s="478">
        <f>'Anexo V - ano 1 a 10 - inicial'!F59</f>
        <v>484.06488626999999</v>
      </c>
      <c r="H59" s="512">
        <f t="shared" si="7"/>
        <v>0</v>
      </c>
      <c r="I59" s="512">
        <f t="shared" si="8"/>
        <v>0</v>
      </c>
    </row>
    <row r="60" spans="2:9" ht="15" customHeight="1" x14ac:dyDescent="0.35">
      <c r="B60" s="551"/>
      <c r="C60" s="42" t="str">
        <f>'Anexo V - ano 1 a 10 - inicial'!C60</f>
        <v>Poltronas</v>
      </c>
      <c r="D60" s="42">
        <f>'Anexo V - ano 1 a 10 - inicial'!D60</f>
        <v>1</v>
      </c>
      <c r="E60" s="42">
        <f t="shared" si="9"/>
        <v>1</v>
      </c>
      <c r="F60" s="42">
        <v>0</v>
      </c>
      <c r="G60" s="478">
        <f>'Anexo V - ano 1 a 10 - inicial'!F60</f>
        <v>717.17869999999994</v>
      </c>
      <c r="H60" s="512">
        <f t="shared" si="7"/>
        <v>0</v>
      </c>
      <c r="I60" s="512">
        <f t="shared" si="8"/>
        <v>0</v>
      </c>
    </row>
    <row r="61" spans="2:9" ht="15" customHeight="1" x14ac:dyDescent="0.35">
      <c r="B61" s="551"/>
      <c r="C61" s="42" t="str">
        <f>'Anexo V - ano 1 a 10 - inicial'!C61</f>
        <v xml:space="preserve">Estantes </v>
      </c>
      <c r="D61" s="42">
        <f>'Anexo V - ano 1 a 10 - inicial'!D61</f>
        <v>4</v>
      </c>
      <c r="E61" s="42">
        <f>D61</f>
        <v>4</v>
      </c>
      <c r="F61" s="42">
        <v>0</v>
      </c>
      <c r="G61" s="478">
        <f>'Anexo V - ano 1 a 10 - inicial'!F61</f>
        <v>1923.3195922499999</v>
      </c>
      <c r="H61" s="512">
        <f t="shared" si="7"/>
        <v>0</v>
      </c>
      <c r="I61" s="512">
        <f t="shared" si="8"/>
        <v>0</v>
      </c>
    </row>
    <row r="62" spans="2:9" ht="15" customHeight="1" x14ac:dyDescent="0.35">
      <c r="B62" s="551"/>
      <c r="C62" s="42" t="str">
        <f>'Anexo V - ano 1 a 10 - inicial'!C62</f>
        <v>Gaveteiros</v>
      </c>
      <c r="D62" s="42">
        <f>'Anexo V - ano 1 a 10 - inicial'!D62</f>
        <v>4</v>
      </c>
      <c r="E62" s="42">
        <f>D62</f>
        <v>4</v>
      </c>
      <c r="F62" s="42">
        <v>0</v>
      </c>
      <c r="G62" s="478">
        <f>'Anexo V - ano 1 a 10 - inicial'!F62</f>
        <v>325.80403799999999</v>
      </c>
      <c r="H62" s="512">
        <f t="shared" si="7"/>
        <v>0</v>
      </c>
      <c r="I62" s="512">
        <f t="shared" si="8"/>
        <v>0</v>
      </c>
    </row>
    <row r="63" spans="2:9" ht="15" customHeight="1" x14ac:dyDescent="0.35">
      <c r="B63" s="551"/>
      <c r="C63" s="42" t="str">
        <f>'Anexo V - ano 1 a 10 - inicial'!C63</f>
        <v>Fogão</v>
      </c>
      <c r="D63" s="42">
        <f>'Anexo V - ano 1 a 10 - inicial'!D63</f>
        <v>1</v>
      </c>
      <c r="E63" s="42">
        <f t="shared" si="9"/>
        <v>1</v>
      </c>
      <c r="F63" s="42">
        <v>0</v>
      </c>
      <c r="G63" s="478">
        <f>'Anexo V - ano 1 a 10 - inicial'!F63</f>
        <v>1709.4876401399999</v>
      </c>
      <c r="H63" s="512">
        <f t="shared" si="7"/>
        <v>0</v>
      </c>
      <c r="I63" s="512">
        <f t="shared" si="8"/>
        <v>0</v>
      </c>
    </row>
    <row r="64" spans="2:9" ht="15" customHeight="1" x14ac:dyDescent="0.35">
      <c r="B64" s="551"/>
      <c r="C64" s="42" t="str">
        <f>'Anexo V - ano 1 a 10 - inicial'!C64</f>
        <v>Forno de Microondas</v>
      </c>
      <c r="D64" s="42">
        <f>'Anexo V - ano 1 a 10 - inicial'!D64</f>
        <v>1</v>
      </c>
      <c r="E64" s="42">
        <f t="shared" si="9"/>
        <v>1</v>
      </c>
      <c r="F64" s="42">
        <v>0</v>
      </c>
      <c r="G64" s="478">
        <f>'Anexo V - ano 1 a 10 - inicial'!F64</f>
        <v>699.76150299999995</v>
      </c>
      <c r="H64" s="512">
        <f t="shared" si="7"/>
        <v>0</v>
      </c>
      <c r="I64" s="512">
        <f t="shared" si="8"/>
        <v>0</v>
      </c>
    </row>
    <row r="65" spans="2:9" ht="15" customHeight="1" x14ac:dyDescent="0.35">
      <c r="B65" s="551"/>
      <c r="C65" s="42" t="str">
        <f>'Anexo V - ano 1 a 10 - inicial'!C65</f>
        <v>Cafeteira</v>
      </c>
      <c r="D65" s="42">
        <f>'Anexo V - ano 1 a 10 - inicial'!D65</f>
        <v>1</v>
      </c>
      <c r="E65" s="42">
        <f t="shared" si="9"/>
        <v>1</v>
      </c>
      <c r="F65" s="42">
        <v>0</v>
      </c>
      <c r="G65" s="478">
        <f>'Anexo V - ano 1 a 10 - inicial'!F65</f>
        <v>512.27049999999997</v>
      </c>
      <c r="H65" s="512">
        <f t="shared" si="7"/>
        <v>0</v>
      </c>
      <c r="I65" s="512">
        <f t="shared" si="8"/>
        <v>0</v>
      </c>
    </row>
    <row r="66" spans="2:9" ht="15" customHeight="1" x14ac:dyDescent="0.35">
      <c r="B66" s="551"/>
      <c r="C66" s="42" t="str">
        <f>'Anexo V - ano 1 a 10 - inicial'!C66</f>
        <v>Geladeira</v>
      </c>
      <c r="D66" s="42">
        <f>'Anexo V - ano 1 a 10 - inicial'!D66</f>
        <v>1</v>
      </c>
      <c r="E66" s="42">
        <f t="shared" si="9"/>
        <v>1</v>
      </c>
      <c r="F66" s="42">
        <v>0</v>
      </c>
      <c r="G66" s="478">
        <f>'Anexo V - ano 1 a 10 - inicial'!F66</f>
        <v>5005.3848100899995</v>
      </c>
      <c r="H66" s="512">
        <f t="shared" si="7"/>
        <v>0</v>
      </c>
      <c r="I66" s="512">
        <f t="shared" si="8"/>
        <v>0</v>
      </c>
    </row>
    <row r="67" spans="2:9" ht="15" customHeight="1" x14ac:dyDescent="0.25">
      <c r="B67" s="7"/>
      <c r="C67" s="42" t="str">
        <f>'Anexo V - ano 1 a 10 - inicial'!C67</f>
        <v>Bebedouro de água (01 para cada 10 funcionários)</v>
      </c>
      <c r="D67" s="586">
        <f>'Anexo V - ano 1 a 10 - inicial'!D67</f>
        <v>1</v>
      </c>
      <c r="E67" s="42">
        <f t="shared" si="9"/>
        <v>1</v>
      </c>
      <c r="F67" s="587">
        <v>0</v>
      </c>
      <c r="G67" s="478">
        <f>'Anexo V - ano 1 a 10 - inicial'!F67</f>
        <v>922.0868999999999</v>
      </c>
      <c r="H67" s="512">
        <f t="shared" si="7"/>
        <v>0</v>
      </c>
      <c r="I67" s="512">
        <f t="shared" si="8"/>
        <v>0</v>
      </c>
    </row>
    <row r="68" spans="2:9" ht="15" customHeight="1" x14ac:dyDescent="0.35">
      <c r="B68" s="551"/>
      <c r="C68" s="42" t="str">
        <f>'Anexo V - ano 1 a 10 - inicial'!C68</f>
        <v>BTUs instalado (Condicionadores de ar) (foi considerado necessário 1.000 BTU por metro quadrado)</v>
      </c>
      <c r="D68" s="42">
        <f>'Anexo V - ano 1 a 10 - inicial'!D68</f>
        <v>60</v>
      </c>
      <c r="E68" s="42">
        <f t="shared" si="9"/>
        <v>60</v>
      </c>
      <c r="F68" s="42">
        <v>0</v>
      </c>
      <c r="G68" s="478">
        <f>'Anexo V - ano 1 a 10 - inicial'!F68</f>
        <v>332.97582499999999</v>
      </c>
      <c r="H68" s="512">
        <f t="shared" si="7"/>
        <v>0</v>
      </c>
      <c r="I68" s="512">
        <f t="shared" si="8"/>
        <v>0</v>
      </c>
    </row>
    <row r="69" spans="2:9" ht="15" customHeight="1" x14ac:dyDescent="0.35">
      <c r="B69" s="551"/>
      <c r="C69" s="42" t="str">
        <f>'Anexo V - ano 1 a 10 - inicial'!C69</f>
        <v>Aparelho Telefônico</v>
      </c>
      <c r="D69" s="42">
        <f>'Anexo V - ano 1 a 10 - inicial'!D69</f>
        <v>4</v>
      </c>
      <c r="E69" s="42">
        <f>D69</f>
        <v>4</v>
      </c>
      <c r="F69" s="42">
        <v>0</v>
      </c>
      <c r="G69" s="478">
        <f>'Anexo V - ano 1 a 10 - inicial'!F69</f>
        <v>327.85311999999999</v>
      </c>
      <c r="H69" s="512">
        <f t="shared" si="7"/>
        <v>0</v>
      </c>
      <c r="I69" s="512">
        <f t="shared" si="8"/>
        <v>0</v>
      </c>
    </row>
    <row r="70" spans="2:9" ht="15" customHeight="1" x14ac:dyDescent="0.35">
      <c r="B70" s="551"/>
      <c r="C70" s="42" t="str">
        <f>'Anexo V - ano 1 a 10 - inicial'!C70</f>
        <v>Copiadora Multifuncional</v>
      </c>
      <c r="D70" s="42">
        <f>'Anexo V - ano 1 a 10 - inicial'!D70</f>
        <v>1</v>
      </c>
      <c r="E70" s="42">
        <f t="shared" si="9"/>
        <v>1</v>
      </c>
      <c r="F70" s="42">
        <f t="shared" ref="F70" si="10">E70-D70</f>
        <v>0</v>
      </c>
      <c r="G70" s="478">
        <f>'Anexo V - ano 1 a 10 - inicial'!F70</f>
        <v>3421.9669399999998</v>
      </c>
      <c r="H70" s="512">
        <f t="shared" si="7"/>
        <v>0</v>
      </c>
      <c r="I70" s="512">
        <f t="shared" si="8"/>
        <v>0</v>
      </c>
    </row>
    <row r="71" spans="2:9" ht="15" customHeight="1" x14ac:dyDescent="0.35">
      <c r="B71" s="551"/>
      <c r="C71" s="42" t="str">
        <f>'Anexo V - ano 1 a 10 - inicial'!C71</f>
        <v>Outros (diversos 15% total)</v>
      </c>
      <c r="D71" s="42"/>
      <c r="E71" s="42"/>
      <c r="F71" s="42"/>
      <c r="G71" s="478"/>
      <c r="H71" s="512">
        <f>SUM(H56:H70)*E75</f>
        <v>0</v>
      </c>
      <c r="I71" s="512">
        <f t="shared" si="8"/>
        <v>0</v>
      </c>
    </row>
    <row r="72" spans="2:9" ht="15" customHeight="1" x14ac:dyDescent="0.35">
      <c r="B72" s="551"/>
      <c r="C72" s="42"/>
      <c r="D72" s="479"/>
      <c r="E72" s="479"/>
      <c r="F72" s="479"/>
      <c r="G72" s="481"/>
      <c r="H72" s="517"/>
      <c r="I72" s="517">
        <f t="shared" si="8"/>
        <v>0</v>
      </c>
    </row>
    <row r="73" spans="2:9" ht="15" customHeight="1" x14ac:dyDescent="0.35">
      <c r="B73" s="551"/>
      <c r="C73" s="483" t="s">
        <v>265</v>
      </c>
      <c r="D73" s="547"/>
      <c r="E73" s="547"/>
      <c r="F73" s="1029"/>
      <c r="G73" s="1029"/>
      <c r="H73" s="484">
        <f>SUM(H56:H72)</f>
        <v>0</v>
      </c>
      <c r="I73" s="484">
        <f>SUM(I56:I72)</f>
        <v>0</v>
      </c>
    </row>
    <row r="74" spans="2:9" ht="15" customHeight="1" x14ac:dyDescent="0.35">
      <c r="B74" s="551"/>
      <c r="C74" s="7"/>
      <c r="D74" s="7"/>
      <c r="E74" s="7"/>
      <c r="F74" s="7"/>
      <c r="G74" s="7"/>
      <c r="H74" s="309"/>
      <c r="I74" s="309"/>
    </row>
    <row r="75" spans="2:9" ht="15" customHeight="1" x14ac:dyDescent="0.35">
      <c r="B75" s="551"/>
      <c r="C75" s="7"/>
      <c r="D75" s="554" t="s">
        <v>558</v>
      </c>
      <c r="E75" s="486">
        <v>0.15</v>
      </c>
      <c r="F75" s="7"/>
      <c r="G75" s="7"/>
      <c r="H75" s="309"/>
      <c r="I75" s="309"/>
    </row>
    <row r="76" spans="2:9" ht="15" customHeight="1" x14ac:dyDescent="0.35">
      <c r="B76" s="551"/>
      <c r="C76" s="7"/>
      <c r="D76" s="411"/>
      <c r="E76" s="7"/>
      <c r="F76" s="7"/>
      <c r="G76" s="7"/>
      <c r="H76" s="309"/>
      <c r="I76" s="309"/>
    </row>
    <row r="77" spans="2:9" ht="12.75" customHeight="1" x14ac:dyDescent="0.35">
      <c r="B77" s="551"/>
      <c r="C77" s="7"/>
      <c r="D77" s="7"/>
      <c r="E77" s="7"/>
      <c r="F77" s="7"/>
      <c r="G77" s="7"/>
      <c r="H77" s="7"/>
      <c r="I77" s="7"/>
    </row>
    <row r="78" spans="2:9" ht="15" customHeight="1" x14ac:dyDescent="0.35">
      <c r="B78" s="550">
        <v>4</v>
      </c>
      <c r="C78" s="1047" t="s">
        <v>507</v>
      </c>
      <c r="D78" s="1047"/>
      <c r="E78" s="1047"/>
      <c r="F78" s="1047"/>
      <c r="G78" s="1047"/>
      <c r="H78" s="1047"/>
      <c r="I78" s="1047"/>
    </row>
    <row r="79" spans="2:9" ht="15" customHeight="1" x14ac:dyDescent="0.35">
      <c r="B79" s="551"/>
      <c r="C79" s="534" t="s">
        <v>449</v>
      </c>
      <c r="D79" s="521" t="s">
        <v>549</v>
      </c>
      <c r="E79" s="521" t="s">
        <v>550</v>
      </c>
      <c r="F79" s="521" t="s">
        <v>551</v>
      </c>
      <c r="G79" s="521" t="s">
        <v>528</v>
      </c>
      <c r="H79" s="521" t="s">
        <v>473</v>
      </c>
      <c r="I79" s="588" t="s">
        <v>454</v>
      </c>
    </row>
    <row r="80" spans="2:9" ht="15" customHeight="1" x14ac:dyDescent="0.35">
      <c r="B80" s="551"/>
      <c r="C80" s="42" t="str">
        <f>'Anexo V - ano 1 a 10 - inicial'!C80</f>
        <v>Armário de Madeira</v>
      </c>
      <c r="D80" s="42">
        <f>'Anexo V - ano 1 a 10 - inicial'!D80</f>
        <v>15</v>
      </c>
      <c r="E80" s="42">
        <f>D80</f>
        <v>15</v>
      </c>
      <c r="F80" s="42">
        <f t="shared" ref="F80:F97" si="11">E80-D80</f>
        <v>0</v>
      </c>
      <c r="G80" s="478">
        <f>'Anexo V - ano 1 a 10 - inicial'!F80</f>
        <v>1588.03855</v>
      </c>
      <c r="H80" s="512">
        <f t="shared" ref="H80:H97" si="12">F80*G80</f>
        <v>0</v>
      </c>
      <c r="I80" s="589">
        <f t="shared" ref="I80:I97" si="13">H80*10/100</f>
        <v>0</v>
      </c>
    </row>
    <row r="81" spans="2:9" ht="15" customHeight="1" x14ac:dyDescent="0.35">
      <c r="B81" s="551"/>
      <c r="C81" s="42" t="str">
        <f>'Anexo V - ano 1 a 10 - inicial'!C81</f>
        <v>Armário de Aço</v>
      </c>
      <c r="D81" s="42">
        <f>'Anexo V - ano 1 a 10 - inicial'!D81</f>
        <v>8</v>
      </c>
      <c r="E81" s="42">
        <f>D81</f>
        <v>8</v>
      </c>
      <c r="F81" s="42">
        <f t="shared" si="11"/>
        <v>0</v>
      </c>
      <c r="G81" s="478">
        <f>'Anexo V - ano 1 a 10 - inicial'!F81</f>
        <v>957.04423891999988</v>
      </c>
      <c r="H81" s="512">
        <f t="shared" si="12"/>
        <v>0</v>
      </c>
      <c r="I81" s="589">
        <f t="shared" si="13"/>
        <v>0</v>
      </c>
    </row>
    <row r="82" spans="2:9" ht="15" customHeight="1" x14ac:dyDescent="0.35">
      <c r="B82" s="551"/>
      <c r="C82" s="42" t="str">
        <f>'Anexo V - ano 1 a 10 - inicial'!C82</f>
        <v>Mesa (Estação de Trabalho)</v>
      </c>
      <c r="D82" s="42">
        <f>'Anexo V - ano 1 a 10 - inicial'!D82</f>
        <v>15</v>
      </c>
      <c r="E82" s="42">
        <v>20</v>
      </c>
      <c r="F82" s="591">
        <f t="shared" si="11"/>
        <v>5</v>
      </c>
      <c r="G82" s="478">
        <f>'Anexo V - ano 1 a 10 - inicial'!F82</f>
        <v>704.7510176699999</v>
      </c>
      <c r="H82" s="512">
        <f>F82*G82</f>
        <v>3523.7550883499994</v>
      </c>
      <c r="I82" s="589">
        <f>H82*10/100</f>
        <v>352.37550883499995</v>
      </c>
    </row>
    <row r="83" spans="2:9" ht="15" customHeight="1" x14ac:dyDescent="0.35">
      <c r="B83" s="551"/>
      <c r="C83" s="42" t="str">
        <f>'Anexo V - ano 1 a 10 - inicial'!C83</f>
        <v>Mesa de Reunião</v>
      </c>
      <c r="D83" s="42">
        <f>'Anexo V - ano 1 a 10 - inicial'!D83</f>
        <v>2</v>
      </c>
      <c r="E83" s="42">
        <v>2</v>
      </c>
      <c r="F83" s="42">
        <f t="shared" si="11"/>
        <v>0</v>
      </c>
      <c r="G83" s="478">
        <f>'Anexo V - ano 1 a 10 - inicial'!F83</f>
        <v>973.31394999999998</v>
      </c>
      <c r="H83" s="512">
        <f>F83*G83</f>
        <v>0</v>
      </c>
      <c r="I83" s="589">
        <f>H83*10/100</f>
        <v>0</v>
      </c>
    </row>
    <row r="84" spans="2:9" ht="15" customHeight="1" x14ac:dyDescent="0.35">
      <c r="B84" s="551"/>
      <c r="C84" s="42" t="str">
        <f>'Anexo V - ano 1 a 10 - inicial'!C84</f>
        <v>Cadeiras Giratórias</v>
      </c>
      <c r="D84" s="42">
        <f>'Anexo V - ano 1 a 10 - inicial'!D84</f>
        <v>21</v>
      </c>
      <c r="E84" s="42">
        <v>26</v>
      </c>
      <c r="F84" s="42">
        <f t="shared" si="11"/>
        <v>5</v>
      </c>
      <c r="G84" s="478">
        <f>'Anexo V - ano 1 a 10 - inicial'!F84</f>
        <v>484.06488626999999</v>
      </c>
      <c r="H84" s="512">
        <f>F84*G84</f>
        <v>2420.3244313499999</v>
      </c>
      <c r="I84" s="589">
        <f>H84*10/100</f>
        <v>242.03244313499999</v>
      </c>
    </row>
    <row r="85" spans="2:9" ht="15" customHeight="1" x14ac:dyDescent="0.35">
      <c r="B85" s="551"/>
      <c r="C85" s="42" t="str">
        <f>'Anexo V - ano 1 a 10 - inicial'!C85</f>
        <v>Cadeiras</v>
      </c>
      <c r="D85" s="42">
        <f>'Anexo V - ano 1 a 10 - inicial'!D85</f>
        <v>10</v>
      </c>
      <c r="E85" s="42">
        <f t="shared" ref="E85:E95" si="14">D85</f>
        <v>10</v>
      </c>
      <c r="F85" s="42">
        <f t="shared" si="11"/>
        <v>0</v>
      </c>
      <c r="G85" s="478">
        <f>'Anexo V - ano 1 a 10 - inicial'!F85</f>
        <v>440.55262999999997</v>
      </c>
      <c r="H85" s="512">
        <f t="shared" si="12"/>
        <v>0</v>
      </c>
      <c r="I85" s="589">
        <f t="shared" si="13"/>
        <v>0</v>
      </c>
    </row>
    <row r="86" spans="2:9" ht="15" customHeight="1" x14ac:dyDescent="0.35">
      <c r="B86" s="551"/>
      <c r="C86" s="42" t="str">
        <f>'Anexo V - ano 1 a 10 - inicial'!C86</f>
        <v>Poltronas</v>
      </c>
      <c r="D86" s="42">
        <f>'Anexo V - ano 1 a 10 - inicial'!D86</f>
        <v>0</v>
      </c>
      <c r="E86" s="42">
        <f t="shared" si="14"/>
        <v>0</v>
      </c>
      <c r="F86" s="42">
        <f t="shared" si="11"/>
        <v>0</v>
      </c>
      <c r="G86" s="478">
        <f>'Anexo V - ano 1 a 10 - inicial'!F86</f>
        <v>0</v>
      </c>
      <c r="H86" s="512">
        <f t="shared" si="12"/>
        <v>0</v>
      </c>
      <c r="I86" s="589">
        <f t="shared" si="13"/>
        <v>0</v>
      </c>
    </row>
    <row r="87" spans="2:9" ht="15" customHeight="1" x14ac:dyDescent="0.35">
      <c r="B87" s="551"/>
      <c r="C87" s="42" t="str">
        <f>'Anexo V - ano 1 a 10 - inicial'!C87</f>
        <v xml:space="preserve">Estantes </v>
      </c>
      <c r="D87" s="42">
        <f>'Anexo V - ano 1 a 10 - inicial'!D87</f>
        <v>16</v>
      </c>
      <c r="E87" s="42">
        <f t="shared" si="14"/>
        <v>16</v>
      </c>
      <c r="F87" s="42">
        <f t="shared" si="11"/>
        <v>0</v>
      </c>
      <c r="G87" s="478">
        <f>'Anexo V - ano 1 a 10 - inicial'!F87</f>
        <v>1923.3195922499999</v>
      </c>
      <c r="H87" s="512">
        <f t="shared" si="12"/>
        <v>0</v>
      </c>
      <c r="I87" s="589">
        <f t="shared" si="13"/>
        <v>0</v>
      </c>
    </row>
    <row r="88" spans="2:9" ht="15" customHeight="1" x14ac:dyDescent="0.35">
      <c r="B88" s="551"/>
      <c r="C88" s="42" t="str">
        <f>'Anexo V - ano 1 a 10 - inicial'!C88</f>
        <v>Gaveteiros</v>
      </c>
      <c r="D88" s="42">
        <f>'Anexo V - ano 1 a 10 - inicial'!D88</f>
        <v>15</v>
      </c>
      <c r="E88" s="42">
        <f t="shared" si="14"/>
        <v>15</v>
      </c>
      <c r="F88" s="42">
        <f t="shared" si="11"/>
        <v>0</v>
      </c>
      <c r="G88" s="478">
        <f>'Anexo V - ano 1 a 10 - inicial'!F88</f>
        <v>325.80403799999999</v>
      </c>
      <c r="H88" s="512">
        <f t="shared" si="12"/>
        <v>0</v>
      </c>
      <c r="I88" s="589">
        <f t="shared" si="13"/>
        <v>0</v>
      </c>
    </row>
    <row r="89" spans="2:9" ht="15" customHeight="1" x14ac:dyDescent="0.35">
      <c r="B89" s="551"/>
      <c r="C89" s="42" t="str">
        <f>'Anexo V - ano 1 a 10 - inicial'!C89</f>
        <v>Fogão Industrial</v>
      </c>
      <c r="D89" s="42">
        <f>'Anexo V - ano 1 a 10 - inicial'!D89</f>
        <v>2</v>
      </c>
      <c r="E89" s="42">
        <f t="shared" si="14"/>
        <v>2</v>
      </c>
      <c r="F89" s="42">
        <f t="shared" si="11"/>
        <v>0</v>
      </c>
      <c r="G89" s="478">
        <f>'Anexo V - ano 1 a 10 - inicial'!F89</f>
        <v>1709.4876401399999</v>
      </c>
      <c r="H89" s="512">
        <f t="shared" si="12"/>
        <v>0</v>
      </c>
      <c r="I89" s="589">
        <f t="shared" si="13"/>
        <v>0</v>
      </c>
    </row>
    <row r="90" spans="2:9" ht="15" customHeight="1" x14ac:dyDescent="0.35">
      <c r="B90" s="551"/>
      <c r="C90" s="42" t="s">
        <v>511</v>
      </c>
      <c r="D90" s="473">
        <v>1</v>
      </c>
      <c r="E90" s="42">
        <f t="shared" si="14"/>
        <v>1</v>
      </c>
      <c r="F90" s="42">
        <f t="shared" si="11"/>
        <v>0</v>
      </c>
      <c r="G90" s="478">
        <f>'Anexo V - ano 1 a 10 - inicial'!F90</f>
        <v>5005.3848100899995</v>
      </c>
      <c r="H90" s="512">
        <f t="shared" ref="H90" si="15">G90*10/100</f>
        <v>500.53848100899995</v>
      </c>
      <c r="I90" s="589">
        <f t="shared" si="13"/>
        <v>50.053848100899998</v>
      </c>
    </row>
    <row r="91" spans="2:9" ht="15" customHeight="1" x14ac:dyDescent="0.35">
      <c r="B91" s="551"/>
      <c r="C91" s="42" t="str">
        <f>'Anexo V - ano 1 a 10 - inicial'!C91</f>
        <v>Forno de Microondas</v>
      </c>
      <c r="D91" s="42">
        <f>'Anexo V - ano 1 a 10 - inicial'!D91</f>
        <v>1</v>
      </c>
      <c r="E91" s="42">
        <f t="shared" si="14"/>
        <v>1</v>
      </c>
      <c r="F91" s="42">
        <f t="shared" si="11"/>
        <v>0</v>
      </c>
      <c r="G91" s="478">
        <f>'Anexo V - ano 1 a 10 - inicial'!F91</f>
        <v>699.76150299999995</v>
      </c>
      <c r="H91" s="512">
        <f t="shared" si="12"/>
        <v>0</v>
      </c>
      <c r="I91" s="589">
        <f t="shared" si="13"/>
        <v>0</v>
      </c>
    </row>
    <row r="92" spans="2:9" ht="15" customHeight="1" x14ac:dyDescent="0.35">
      <c r="B92" s="551"/>
      <c r="C92" s="42" t="str">
        <f>'Anexo V - ano 1 a 10 - inicial'!C92</f>
        <v>Cafeteira</v>
      </c>
      <c r="D92" s="42">
        <f>'Anexo V - ano 1 a 10 - inicial'!D92</f>
        <v>2</v>
      </c>
      <c r="E92" s="42">
        <f t="shared" si="14"/>
        <v>2</v>
      </c>
      <c r="F92" s="42">
        <f t="shared" si="11"/>
        <v>0</v>
      </c>
      <c r="G92" s="478">
        <f>'Anexo V - ano 1 a 10 - inicial'!F92</f>
        <v>512.27049999999997</v>
      </c>
      <c r="H92" s="512">
        <f t="shared" si="12"/>
        <v>0</v>
      </c>
      <c r="I92" s="589">
        <f t="shared" si="13"/>
        <v>0</v>
      </c>
    </row>
    <row r="93" spans="2:9" ht="15" customHeight="1" x14ac:dyDescent="0.35">
      <c r="B93" s="551"/>
      <c r="C93" s="42" t="str">
        <f>'Anexo V - ano 1 a 10 - inicial'!C93</f>
        <v>Bebedouro de água (01 para cada 10 funcionários)</v>
      </c>
      <c r="D93" s="42">
        <f>'Anexo V - ano 1 a 10 - inicial'!D93</f>
        <v>4</v>
      </c>
      <c r="E93" s="42">
        <f t="shared" si="14"/>
        <v>4</v>
      </c>
      <c r="F93" s="42">
        <f t="shared" si="11"/>
        <v>0</v>
      </c>
      <c r="G93" s="478">
        <f>'Anexo V - ano 1 a 10 - inicial'!F93</f>
        <v>922.0868999999999</v>
      </c>
      <c r="H93" s="512">
        <f t="shared" si="12"/>
        <v>0</v>
      </c>
      <c r="I93" s="589">
        <f t="shared" si="13"/>
        <v>0</v>
      </c>
    </row>
    <row r="94" spans="2:9" ht="15" customHeight="1" x14ac:dyDescent="0.35">
      <c r="B94" s="551"/>
      <c r="C94" s="42" t="str">
        <f>'Anexo V - ano 1 a 10 - inicial'!C94</f>
        <v>Geladeira</v>
      </c>
      <c r="D94" s="42">
        <f>'Anexo V - ano 1 a 10 - inicial'!D94</f>
        <v>2</v>
      </c>
      <c r="E94" s="42">
        <f t="shared" si="14"/>
        <v>2</v>
      </c>
      <c r="F94" s="42">
        <f t="shared" si="11"/>
        <v>0</v>
      </c>
      <c r="G94" s="478">
        <f>'Anexo V - ano 1 a 10 - inicial'!F94</f>
        <v>5005.3848100899995</v>
      </c>
      <c r="H94" s="512">
        <f t="shared" si="12"/>
        <v>0</v>
      </c>
      <c r="I94" s="589">
        <f t="shared" si="13"/>
        <v>0</v>
      </c>
    </row>
    <row r="95" spans="2:9" ht="15" customHeight="1" x14ac:dyDescent="0.35">
      <c r="B95" s="551"/>
      <c r="C95" s="42" t="str">
        <f>'Anexo V - ano 1 a 10 - inicial'!C95</f>
        <v>Frigobar</v>
      </c>
      <c r="D95" s="42">
        <f>'Anexo V - ano 1 a 10 - inicial'!D95</f>
        <v>6</v>
      </c>
      <c r="E95" s="42">
        <f t="shared" si="14"/>
        <v>6</v>
      </c>
      <c r="F95" s="42">
        <f t="shared" si="11"/>
        <v>0</v>
      </c>
      <c r="G95" s="478">
        <f>'Anexo V - ano 1 a 10 - inicial'!F95</f>
        <v>1225.9145335499998</v>
      </c>
      <c r="H95" s="512">
        <f t="shared" si="12"/>
        <v>0</v>
      </c>
      <c r="I95" s="589">
        <f t="shared" si="13"/>
        <v>0</v>
      </c>
    </row>
    <row r="96" spans="2:9" ht="15" customHeight="1" x14ac:dyDescent="0.35">
      <c r="B96" s="551"/>
      <c r="C96" s="42" t="str">
        <f>'Anexo V - ano 1 a 10 - inicial'!C96</f>
        <v>BTUs instalado (Condicionadores de ar) (x1.000)</v>
      </c>
      <c r="D96" s="591">
        <f>'Anexo V - ano 1 a 10 - inicial'!D96</f>
        <v>2028.25</v>
      </c>
      <c r="E96" s="42">
        <f>'Anexo IV - ano 11 a 15'!D45</f>
        <v>2405</v>
      </c>
      <c r="F96" s="591">
        <f>E96-D96</f>
        <v>376.75</v>
      </c>
      <c r="G96" s="478">
        <f>'Anexo V - ano 1 a 10 - inicial'!F96</f>
        <v>341.14738472132495</v>
      </c>
      <c r="H96" s="512">
        <f>F96*G96</f>
        <v>128527.27719375918</v>
      </c>
      <c r="I96" s="589">
        <f>H96*10/100</f>
        <v>12852.727719375916</v>
      </c>
    </row>
    <row r="97" spans="2:9" ht="15" customHeight="1" x14ac:dyDescent="0.35">
      <c r="B97" s="551"/>
      <c r="C97" s="42" t="str">
        <f>'Anexo V - ano 1 a 10 - inicial'!C97</f>
        <v>Aparelho Telefônico</v>
      </c>
      <c r="D97" s="42">
        <f>'Anexo V - ano 1 a 10 - inicial'!D97</f>
        <v>8</v>
      </c>
      <c r="E97" s="42">
        <f>D97</f>
        <v>8</v>
      </c>
      <c r="F97" s="42">
        <f t="shared" si="11"/>
        <v>0</v>
      </c>
      <c r="G97" s="478">
        <f>'Anexo V - ano 1 a 10 - inicial'!F97</f>
        <v>327.85311999999999</v>
      </c>
      <c r="H97" s="512">
        <f t="shared" si="12"/>
        <v>0</v>
      </c>
      <c r="I97" s="589">
        <f t="shared" si="13"/>
        <v>0</v>
      </c>
    </row>
    <row r="98" spans="2:9" ht="15" customHeight="1" x14ac:dyDescent="0.35">
      <c r="B98" s="551"/>
      <c r="C98" s="42" t="str">
        <f>'Anexo V - ano 1 a 10 - inicial'!C98</f>
        <v>Copiadora Multifuncional</v>
      </c>
      <c r="D98" s="42">
        <f>'Anexo V - ano 1 a 10 - inicial'!D98</f>
        <v>5</v>
      </c>
      <c r="E98" s="42">
        <f>D98</f>
        <v>5</v>
      </c>
      <c r="F98" s="591">
        <f>E98-D98</f>
        <v>0</v>
      </c>
      <c r="G98" s="478">
        <f>'Anexo V - ano 1 a 10 - inicial'!F98</f>
        <v>3421.9669399999998</v>
      </c>
      <c r="H98" s="512">
        <f>F98*G98</f>
        <v>0</v>
      </c>
      <c r="I98" s="589">
        <f>H98*10/100</f>
        <v>0</v>
      </c>
    </row>
    <row r="99" spans="2:9" ht="15" customHeight="1" x14ac:dyDescent="0.35">
      <c r="B99" s="551"/>
      <c r="C99" s="42" t="str">
        <f>'Anexo V - ano 1 a 10 - inicial'!C99</f>
        <v>Outros (diversos 15% total)</v>
      </c>
      <c r="D99" s="479"/>
      <c r="E99" s="479"/>
      <c r="F99" s="479"/>
      <c r="G99" s="481"/>
      <c r="H99" s="512">
        <f>(H82+H96)*0.15</f>
        <v>19807.654842316373</v>
      </c>
      <c r="I99" s="589">
        <f>H99*10/100</f>
        <v>1980.7654842316374</v>
      </c>
    </row>
    <row r="100" spans="2:9" ht="15" customHeight="1" x14ac:dyDescent="0.35">
      <c r="B100" s="551"/>
      <c r="C100" s="483" t="s">
        <v>265</v>
      </c>
      <c r="D100" s="592"/>
      <c r="E100" s="592"/>
      <c r="F100" s="1029"/>
      <c r="G100" s="1029"/>
      <c r="H100" s="484">
        <f>SUM(H80:H99)</f>
        <v>154779.55003678455</v>
      </c>
      <c r="I100" s="484">
        <f>SUM(I80:I99)</f>
        <v>15477.955003678453</v>
      </c>
    </row>
    <row r="101" spans="2:9" ht="12.75" customHeight="1" x14ac:dyDescent="0.35">
      <c r="B101" s="551"/>
      <c r="C101" s="7"/>
      <c r="D101" s="7"/>
      <c r="E101" s="7"/>
      <c r="F101" s="7"/>
      <c r="G101" s="7"/>
      <c r="H101" s="7"/>
      <c r="I101" s="7"/>
    </row>
    <row r="102" spans="2:9" ht="12.75" customHeight="1" x14ac:dyDescent="0.35">
      <c r="B102" s="551"/>
      <c r="C102" s="7"/>
      <c r="D102" s="554" t="s">
        <v>506</v>
      </c>
      <c r="E102" s="486">
        <v>0.15</v>
      </c>
      <c r="F102" s="7"/>
      <c r="G102" s="7"/>
      <c r="H102" s="7"/>
      <c r="I102" s="7"/>
    </row>
    <row r="103" spans="2:9" ht="12.75" customHeight="1" x14ac:dyDescent="0.35">
      <c r="B103" s="551"/>
      <c r="C103" s="7"/>
      <c r="D103" s="411"/>
      <c r="E103" s="43"/>
      <c r="F103" s="7"/>
      <c r="G103" s="7"/>
      <c r="H103" s="7"/>
      <c r="I103" s="7"/>
    </row>
    <row r="104" spans="2:9" ht="12.75" customHeight="1" x14ac:dyDescent="0.35">
      <c r="B104" s="551"/>
      <c r="C104" s="7"/>
      <c r="D104" s="7"/>
      <c r="E104" s="7"/>
      <c r="F104" s="7"/>
      <c r="G104" s="7"/>
      <c r="H104" s="7"/>
      <c r="I104" s="7"/>
    </row>
    <row r="105" spans="2:9" ht="15" customHeight="1" x14ac:dyDescent="0.35">
      <c r="B105" s="550">
        <v>5</v>
      </c>
      <c r="C105" s="1044" t="s">
        <v>515</v>
      </c>
      <c r="D105" s="1044"/>
      <c r="E105" s="1044"/>
      <c r="F105" s="1044"/>
      <c r="G105" s="1044"/>
      <c r="H105" s="1044"/>
      <c r="I105" s="1044"/>
    </row>
    <row r="106" spans="2:9" ht="15" customHeight="1" x14ac:dyDescent="0.35">
      <c r="B106" s="551"/>
      <c r="C106" s="534" t="s">
        <v>449</v>
      </c>
      <c r="D106" s="521" t="s">
        <v>549</v>
      </c>
      <c r="E106" s="521" t="s">
        <v>550</v>
      </c>
      <c r="F106" s="521" t="s">
        <v>551</v>
      </c>
      <c r="G106" s="521" t="s">
        <v>528</v>
      </c>
      <c r="H106" s="521" t="s">
        <v>473</v>
      </c>
      <c r="I106" s="521" t="s">
        <v>516</v>
      </c>
    </row>
    <row r="107" spans="2:9" ht="15" customHeight="1" x14ac:dyDescent="0.35">
      <c r="B107" s="551"/>
      <c r="C107" s="42" t="s">
        <v>517</v>
      </c>
      <c r="D107" s="330">
        <f>'Anexo V - ano 1 a 10 - inicial'!D107</f>
        <v>0</v>
      </c>
      <c r="E107" s="42">
        <v>0</v>
      </c>
      <c r="F107" s="42">
        <v>0</v>
      </c>
      <c r="G107" s="478">
        <f>'Anexo V - ano 1 a 10 - inicial'!E107</f>
        <v>0</v>
      </c>
      <c r="H107" s="512">
        <f>F107*G107</f>
        <v>0</v>
      </c>
      <c r="I107" s="512">
        <f t="shared" ref="I107:I111" si="16">H107*20/100</f>
        <v>0</v>
      </c>
    </row>
    <row r="108" spans="2:9" ht="15" customHeight="1" x14ac:dyDescent="0.35">
      <c r="B108" s="551"/>
      <c r="C108" s="42" t="s">
        <v>518</v>
      </c>
      <c r="D108" s="330">
        <f>'Anexo V - ano 1 a 10 - inicial'!D108</f>
        <v>0</v>
      </c>
      <c r="E108" s="42">
        <f>D108</f>
        <v>0</v>
      </c>
      <c r="F108" s="42">
        <v>0</v>
      </c>
      <c r="G108" s="478">
        <v>0</v>
      </c>
      <c r="H108" s="512">
        <f>F108*G108</f>
        <v>0</v>
      </c>
      <c r="I108" s="512">
        <f t="shared" si="16"/>
        <v>0</v>
      </c>
    </row>
    <row r="109" spans="2:9" ht="15" customHeight="1" x14ac:dyDescent="0.35">
      <c r="B109" s="551"/>
      <c r="C109" s="42" t="s">
        <v>519</v>
      </c>
      <c r="D109" s="330">
        <f>'Anexo V - ano 1 a 10 - inicial'!D109</f>
        <v>1</v>
      </c>
      <c r="E109" s="42">
        <f>D109</f>
        <v>1</v>
      </c>
      <c r="F109" s="42">
        <v>0</v>
      </c>
      <c r="G109" s="478">
        <v>1887.2</v>
      </c>
      <c r="H109" s="512">
        <f>F109*G109</f>
        <v>0</v>
      </c>
      <c r="I109" s="512">
        <f t="shared" si="16"/>
        <v>0</v>
      </c>
    </row>
    <row r="110" spans="2:9" ht="15" customHeight="1" x14ac:dyDescent="0.35">
      <c r="B110" s="551"/>
      <c r="C110" s="42" t="s">
        <v>520</v>
      </c>
      <c r="D110" s="330">
        <f>'Anexo V - ano 1 a 10 - inicial'!D110</f>
        <v>0</v>
      </c>
      <c r="E110" s="42">
        <v>0</v>
      </c>
      <c r="F110" s="42">
        <v>0</v>
      </c>
      <c r="G110" s="478">
        <v>0</v>
      </c>
      <c r="H110" s="512">
        <f>F110*G110</f>
        <v>0</v>
      </c>
      <c r="I110" s="512">
        <f t="shared" si="16"/>
        <v>0</v>
      </c>
    </row>
    <row r="111" spans="2:9" ht="15" customHeight="1" x14ac:dyDescent="0.35">
      <c r="B111" s="551"/>
      <c r="C111" s="42" t="s">
        <v>521</v>
      </c>
      <c r="D111" s="330">
        <v>4</v>
      </c>
      <c r="E111" s="42">
        <v>4</v>
      </c>
      <c r="F111" s="42">
        <v>0</v>
      </c>
      <c r="G111" s="478">
        <v>3300</v>
      </c>
      <c r="H111" s="512">
        <v>0</v>
      </c>
      <c r="I111" s="512">
        <f t="shared" si="16"/>
        <v>0</v>
      </c>
    </row>
    <row r="112" spans="2:9" ht="15" customHeight="1" thickBot="1" x14ac:dyDescent="0.4">
      <c r="B112" s="551"/>
      <c r="C112" s="479" t="s">
        <v>522</v>
      </c>
      <c r="D112" s="330">
        <f>'Anexo V - ano 1 a 10 - inicial'!D112</f>
        <v>1</v>
      </c>
      <c r="E112" s="42">
        <v>1</v>
      </c>
      <c r="F112" s="42">
        <f>E112-D112</f>
        <v>0</v>
      </c>
      <c r="G112" s="478">
        <v>63500</v>
      </c>
      <c r="H112" s="512">
        <v>0</v>
      </c>
      <c r="I112" s="512">
        <f t="shared" ref="I112" si="17">H112*20/100</f>
        <v>0</v>
      </c>
    </row>
    <row r="113" spans="2:9" ht="15" customHeight="1" x14ac:dyDescent="0.35">
      <c r="B113" s="551"/>
      <c r="C113" s="483" t="s">
        <v>265</v>
      </c>
      <c r="D113" s="547"/>
      <c r="E113" s="547"/>
      <c r="F113" s="1029"/>
      <c r="G113" s="1029"/>
      <c r="H113" s="484">
        <f>SUM(H107:H112)</f>
        <v>0</v>
      </c>
      <c r="I113" s="484">
        <f>SUM(I107:I112)</f>
        <v>0</v>
      </c>
    </row>
    <row r="118" spans="2:9" ht="15" customHeight="1" x14ac:dyDescent="0.35">
      <c r="B118" s="550">
        <v>6</v>
      </c>
      <c r="C118" s="1042" t="s">
        <v>523</v>
      </c>
      <c r="D118" s="1042"/>
      <c r="E118" s="1042"/>
      <c r="F118" s="1042"/>
      <c r="G118" s="1042"/>
      <c r="H118" s="1042"/>
      <c r="I118" s="1042"/>
    </row>
    <row r="119" spans="2:9" ht="15" customHeight="1" x14ac:dyDescent="0.35">
      <c r="B119" s="551"/>
      <c r="C119" s="534" t="s">
        <v>449</v>
      </c>
      <c r="D119" s="521" t="s">
        <v>549</v>
      </c>
      <c r="E119" s="521" t="s">
        <v>550</v>
      </c>
      <c r="F119" s="521" t="s">
        <v>551</v>
      </c>
      <c r="G119" s="521" t="s">
        <v>528</v>
      </c>
      <c r="H119" s="521" t="s">
        <v>473</v>
      </c>
      <c r="I119" s="521" t="s">
        <v>516</v>
      </c>
    </row>
    <row r="120" spans="2:9" ht="15" customHeight="1" x14ac:dyDescent="0.35">
      <c r="B120" s="551"/>
      <c r="C120" s="42" t="s">
        <v>517</v>
      </c>
      <c r="D120" s="28">
        <f>'Anexo V - ano 1 a 10 - inicial'!D121</f>
        <v>12</v>
      </c>
      <c r="E120" s="28">
        <v>15</v>
      </c>
      <c r="F120" s="28">
        <f>E120-D120</f>
        <v>3</v>
      </c>
      <c r="G120" s="478">
        <f>'Anexo V - ano 1 a 10 - inicial'!F121</f>
        <v>4951.0943824999995</v>
      </c>
      <c r="H120" s="512">
        <f>F120*G120</f>
        <v>14853.283147499998</v>
      </c>
      <c r="I120" s="512">
        <f>H120*20/100</f>
        <v>2970.6566294999998</v>
      </c>
    </row>
    <row r="121" spans="2:9" ht="15" customHeight="1" x14ac:dyDescent="0.35">
      <c r="B121" s="551"/>
      <c r="C121" s="42" t="s">
        <v>518</v>
      </c>
      <c r="D121" s="28">
        <f>'Anexo V - ano 1 a 10 - inicial'!D122</f>
        <v>6</v>
      </c>
      <c r="E121" s="519">
        <v>8</v>
      </c>
      <c r="F121" s="28">
        <f t="shared" ref="F121:F124" si="18">E121-D121</f>
        <v>2</v>
      </c>
      <c r="G121" s="478">
        <f>'Anexo V - ano 1 a 10 - inicial'!F122</f>
        <v>5015.1281949999993</v>
      </c>
      <c r="H121" s="512">
        <f>F121*G121</f>
        <v>10030.256389999999</v>
      </c>
      <c r="I121" s="512">
        <f>H121*20/100</f>
        <v>2006.0512779999997</v>
      </c>
    </row>
    <row r="122" spans="2:9" ht="15" customHeight="1" x14ac:dyDescent="0.35">
      <c r="B122" s="551"/>
      <c r="C122" s="42" t="s">
        <v>524</v>
      </c>
      <c r="D122" s="28">
        <f>'Anexo V - ano 1 a 10 - inicial'!D123</f>
        <v>9</v>
      </c>
      <c r="E122" s="28">
        <v>9</v>
      </c>
      <c r="F122" s="42">
        <v>0</v>
      </c>
      <c r="G122" s="478">
        <f>'Anexo V - ano 1 a 10 - inicial'!F123</f>
        <v>1887.2045219999998</v>
      </c>
      <c r="H122" s="512">
        <f t="shared" ref="H122" si="19">F122*G122</f>
        <v>0</v>
      </c>
      <c r="I122" s="512">
        <f t="shared" ref="I122:I126" si="20">H122*20/100</f>
        <v>0</v>
      </c>
    </row>
    <row r="123" spans="2:9" ht="15" customHeight="1" x14ac:dyDescent="0.35">
      <c r="B123" s="551"/>
      <c r="C123" s="42" t="s">
        <v>525</v>
      </c>
      <c r="D123" s="28">
        <f>'Anexo V - ano 1 a 10 - inicial'!D124</f>
        <v>2</v>
      </c>
      <c r="E123" s="28">
        <v>4</v>
      </c>
      <c r="F123" s="28">
        <f t="shared" si="18"/>
        <v>2</v>
      </c>
      <c r="G123" s="478">
        <f>'Anexo V - ano 1 a 10 - inicial'!F124</f>
        <v>867.50960092999992</v>
      </c>
      <c r="H123" s="512">
        <f>F123*G123</f>
        <v>1735.0192018599998</v>
      </c>
      <c r="I123" s="512">
        <f>H123*20/100</f>
        <v>347.00384037199996</v>
      </c>
    </row>
    <row r="124" spans="2:9" ht="15" customHeight="1" x14ac:dyDescent="0.35">
      <c r="B124" s="551"/>
      <c r="C124" s="42" t="s">
        <v>520</v>
      </c>
      <c r="D124" s="28">
        <f>'Anexo V - ano 1 a 10 - inicial'!D125</f>
        <v>4</v>
      </c>
      <c r="E124" s="28">
        <v>8</v>
      </c>
      <c r="F124" s="28">
        <f t="shared" si="18"/>
        <v>4</v>
      </c>
      <c r="G124" s="478">
        <f>'Anexo V - ano 1 a 10 - inicial'!F125</f>
        <v>197.736413</v>
      </c>
      <c r="H124" s="512">
        <f>F124*G124</f>
        <v>790.945652</v>
      </c>
      <c r="I124" s="512">
        <f>H124*20/100</f>
        <v>158.18913039999998</v>
      </c>
    </row>
    <row r="125" spans="2:9" ht="15" customHeight="1" x14ac:dyDescent="0.35">
      <c r="B125" s="551"/>
      <c r="C125" s="42" t="s">
        <v>521</v>
      </c>
      <c r="D125" s="28">
        <f>'Anexo V - ano 1 a 10 - inicial'!D126</f>
        <v>25</v>
      </c>
      <c r="E125" s="28">
        <v>25</v>
      </c>
      <c r="F125" s="42">
        <v>0</v>
      </c>
      <c r="G125" s="478">
        <f>'Anexo V - ano 1 a 10 - inicial'!F126</f>
        <v>4250</v>
      </c>
      <c r="H125" s="512">
        <f t="shared" ref="H125" si="21">F125*G125</f>
        <v>0</v>
      </c>
      <c r="I125" s="512">
        <f t="shared" ref="I125" si="22">H125*20/100</f>
        <v>0</v>
      </c>
    </row>
    <row r="126" spans="2:9" ht="15" customHeight="1" thickBot="1" x14ac:dyDescent="0.4">
      <c r="B126" s="551"/>
      <c r="C126" s="479" t="s">
        <v>526</v>
      </c>
      <c r="D126" s="479">
        <v>1</v>
      </c>
      <c r="E126" s="479">
        <v>1</v>
      </c>
      <c r="F126" s="42">
        <v>0</v>
      </c>
      <c r="G126" s="481">
        <f>'Anexo V - ano 1 a 10 - inicial'!F127</f>
        <v>385000</v>
      </c>
      <c r="H126" s="517">
        <v>0</v>
      </c>
      <c r="I126" s="517">
        <f t="shared" si="20"/>
        <v>0</v>
      </c>
    </row>
    <row r="127" spans="2:9" ht="15" customHeight="1" x14ac:dyDescent="0.35">
      <c r="B127" s="551"/>
      <c r="C127" s="483" t="s">
        <v>265</v>
      </c>
      <c r="D127" s="592"/>
      <c r="E127" s="592"/>
      <c r="F127" s="1045"/>
      <c r="G127" s="1045"/>
      <c r="H127" s="484">
        <f>SUM(H120:H126)</f>
        <v>27409.504391359995</v>
      </c>
      <c r="I127" s="484">
        <f>SUM(I120:I126)</f>
        <v>5481.9008782719993</v>
      </c>
    </row>
    <row r="132" spans="2:9" ht="12.75" customHeight="1" x14ac:dyDescent="0.35">
      <c r="B132" s="550">
        <v>7</v>
      </c>
      <c r="C132" s="1046" t="s">
        <v>527</v>
      </c>
      <c r="D132" s="1046"/>
      <c r="E132" s="1046"/>
      <c r="F132" s="1046"/>
      <c r="G132" s="1046"/>
      <c r="H132" s="1046"/>
      <c r="I132" s="1046"/>
    </row>
    <row r="133" spans="2:9" ht="12.75" customHeight="1" x14ac:dyDescent="0.35">
      <c r="B133" s="551"/>
      <c r="C133" s="534" t="s">
        <v>449</v>
      </c>
      <c r="D133" s="521" t="s">
        <v>549</v>
      </c>
      <c r="E133" s="521" t="s">
        <v>550</v>
      </c>
      <c r="F133" s="521" t="s">
        <v>551</v>
      </c>
      <c r="G133" s="521" t="s">
        <v>528</v>
      </c>
      <c r="H133" s="521" t="s">
        <v>473</v>
      </c>
      <c r="I133" s="521" t="s">
        <v>516</v>
      </c>
    </row>
    <row r="134" spans="2:9" ht="12.75" customHeight="1" x14ac:dyDescent="0.35">
      <c r="B134" s="551"/>
      <c r="C134" s="521" t="str">
        <f>'Anexo V - ano 1 a 10 - inicial'!C135</f>
        <v>Sistema Informatizado monitoramento e de vigilância eletrônica</v>
      </c>
      <c r="D134" s="593">
        <v>1</v>
      </c>
      <c r="E134" s="593">
        <v>2</v>
      </c>
      <c r="F134" s="593">
        <v>1</v>
      </c>
      <c r="G134" s="594">
        <v>125000</v>
      </c>
      <c r="H134" s="523">
        <f>F134*G134</f>
        <v>125000</v>
      </c>
      <c r="I134" s="523">
        <f>H134*20/100</f>
        <v>25000</v>
      </c>
    </row>
    <row r="135" spans="2:9" ht="12.75" customHeight="1" x14ac:dyDescent="0.35">
      <c r="B135" s="551"/>
      <c r="C135" s="527" t="s">
        <v>559</v>
      </c>
      <c r="D135" s="595">
        <v>1</v>
      </c>
      <c r="E135" s="527">
        <v>1</v>
      </c>
      <c r="F135" s="595">
        <v>0</v>
      </c>
      <c r="G135" s="529">
        <v>0</v>
      </c>
      <c r="H135" s="530">
        <f>F135*G135</f>
        <v>0</v>
      </c>
      <c r="I135" s="596">
        <f>H135*20/100</f>
        <v>0</v>
      </c>
    </row>
    <row r="136" spans="2:9" ht="12.75" customHeight="1" x14ac:dyDescent="0.35">
      <c r="B136" s="551"/>
      <c r="C136" s="483" t="s">
        <v>265</v>
      </c>
      <c r="D136" s="547"/>
      <c r="E136" s="547"/>
      <c r="F136" s="1029"/>
      <c r="G136" s="1029"/>
      <c r="H136" s="484">
        <f>SUM(H134:H135)</f>
        <v>125000</v>
      </c>
      <c r="I136" s="484">
        <f>SUM(I134:I135)</f>
        <v>25000</v>
      </c>
    </row>
    <row r="137" spans="2:9" ht="12.75" customHeight="1" x14ac:dyDescent="0.35">
      <c r="B137" s="551"/>
      <c r="C137" s="597"/>
      <c r="D137" s="7"/>
      <c r="E137" s="7"/>
      <c r="F137" s="7"/>
      <c r="G137" s="7"/>
      <c r="H137" s="309"/>
      <c r="I137" s="309"/>
    </row>
    <row r="138" spans="2:9" ht="12.75" customHeight="1" x14ac:dyDescent="0.35">
      <c r="B138" s="551"/>
      <c r="C138" s="597"/>
      <c r="D138" s="7"/>
      <c r="E138" s="7"/>
      <c r="F138" s="7"/>
      <c r="G138" s="7"/>
      <c r="H138" s="309"/>
      <c r="I138" s="309"/>
    </row>
    <row r="139" spans="2:9" ht="12.75" customHeight="1" x14ac:dyDescent="0.35">
      <c r="B139" s="551"/>
      <c r="C139" s="597"/>
      <c r="D139" s="7"/>
      <c r="E139" s="7"/>
      <c r="F139" s="7"/>
      <c r="G139" s="7"/>
      <c r="H139" s="309"/>
      <c r="I139" s="309"/>
    </row>
    <row r="140" spans="2:9" ht="12.75" customHeight="1" x14ac:dyDescent="0.35">
      <c r="B140" s="551"/>
      <c r="C140" s="597"/>
      <c r="D140" s="7"/>
      <c r="E140" s="7"/>
      <c r="F140" s="7"/>
      <c r="G140" s="7"/>
      <c r="H140" s="309"/>
      <c r="I140" s="309"/>
    </row>
    <row r="141" spans="2:9" ht="12.75" customHeight="1" x14ac:dyDescent="0.35">
      <c r="B141" s="550">
        <v>8</v>
      </c>
      <c r="C141" s="1042" t="s">
        <v>533</v>
      </c>
      <c r="D141" s="1042"/>
      <c r="E141" s="1042"/>
      <c r="F141" s="1042"/>
      <c r="G141" s="1042"/>
      <c r="H141" s="1042"/>
      <c r="I141" s="1042"/>
    </row>
    <row r="142" spans="2:9" ht="12.75" customHeight="1" x14ac:dyDescent="0.35">
      <c r="B142" s="551"/>
      <c r="C142" s="534" t="s">
        <v>449</v>
      </c>
      <c r="D142" s="521" t="s">
        <v>549</v>
      </c>
      <c r="E142" s="521" t="s">
        <v>550</v>
      </c>
      <c r="F142" s="521" t="s">
        <v>551</v>
      </c>
      <c r="G142" s="521" t="s">
        <v>528</v>
      </c>
      <c r="H142" s="521" t="s">
        <v>473</v>
      </c>
      <c r="I142" s="521" t="s">
        <v>516</v>
      </c>
    </row>
    <row r="143" spans="2:9" ht="12.75" customHeight="1" x14ac:dyDescent="0.35">
      <c r="B143" s="551"/>
      <c r="C143" s="42" t="s">
        <v>534</v>
      </c>
      <c r="D143" s="42">
        <f>'Anexo V - ano 1 a 10 - inicial'!D144</f>
        <v>2</v>
      </c>
      <c r="E143" s="42">
        <f>D143</f>
        <v>2</v>
      </c>
      <c r="F143" s="593">
        <f>E143-D143</f>
        <v>0</v>
      </c>
      <c r="G143" s="478">
        <f>'Anexo V - ano 1 a 10 - inicial'!E144</f>
        <v>92500</v>
      </c>
      <c r="H143" s="512">
        <f>F143*G143</f>
        <v>0</v>
      </c>
      <c r="I143" s="512">
        <f>H143*20/100</f>
        <v>0</v>
      </c>
    </row>
    <row r="144" spans="2:9" ht="12.75" customHeight="1" x14ac:dyDescent="0.35">
      <c r="B144" s="551"/>
      <c r="C144" s="42" t="s">
        <v>560</v>
      </c>
      <c r="D144" s="42">
        <f>'Anexo V - ano 1 a 10 - inicial'!D145</f>
        <v>0</v>
      </c>
      <c r="E144" s="42">
        <v>0</v>
      </c>
      <c r="F144" s="593">
        <v>0</v>
      </c>
      <c r="G144" s="478">
        <f>'Anexo V - ano 1 a 10 - inicial'!E145</f>
        <v>0</v>
      </c>
      <c r="H144" s="512">
        <f>F144*G144</f>
        <v>0</v>
      </c>
      <c r="I144" s="512">
        <f>H144*20/100</f>
        <v>0</v>
      </c>
    </row>
    <row r="147" spans="2:9" ht="12.75" customHeight="1" x14ac:dyDescent="0.35">
      <c r="B147" s="469">
        <v>9</v>
      </c>
      <c r="C147" s="1043" t="s">
        <v>535</v>
      </c>
      <c r="D147" s="1043"/>
      <c r="E147" s="1043"/>
      <c r="F147" s="1043"/>
      <c r="G147" s="1043"/>
      <c r="H147" s="1043"/>
      <c r="I147" s="1043"/>
    </row>
    <row r="148" spans="2:9" ht="12.75" customHeight="1" x14ac:dyDescent="0.35">
      <c r="B148" s="551"/>
      <c r="C148" s="534" t="s">
        <v>449</v>
      </c>
      <c r="D148" s="521" t="s">
        <v>549</v>
      </c>
      <c r="E148" s="521" t="s">
        <v>550</v>
      </c>
      <c r="F148" s="521" t="s">
        <v>551</v>
      </c>
      <c r="G148" s="521" t="s">
        <v>528</v>
      </c>
      <c r="H148" s="521" t="s">
        <v>473</v>
      </c>
      <c r="I148" s="521" t="s">
        <v>454</v>
      </c>
    </row>
    <row r="149" spans="2:9" ht="12.75" customHeight="1" x14ac:dyDescent="0.35">
      <c r="B149" s="551"/>
      <c r="C149" s="42" t="s">
        <v>561</v>
      </c>
      <c r="D149" s="42">
        <f>'Anexo V - ano 1 a 10 - inicial'!D150</f>
        <v>1</v>
      </c>
      <c r="E149" s="42">
        <v>1</v>
      </c>
      <c r="F149" s="593">
        <v>0</v>
      </c>
      <c r="G149" s="478">
        <f>'Anexo V - ano 1 a 10 - inicial'!E150</f>
        <v>78560</v>
      </c>
      <c r="H149" s="512">
        <f>F149*G149</f>
        <v>0</v>
      </c>
      <c r="I149" s="512">
        <f>H149*10/100</f>
        <v>0</v>
      </c>
    </row>
    <row r="150" spans="2:9" ht="12.75" customHeight="1" x14ac:dyDescent="0.35">
      <c r="B150" s="551"/>
      <c r="C150" s="536" t="s">
        <v>562</v>
      </c>
      <c r="D150" s="479">
        <f>'Anexo V - ano 1 a 10 - inicial'!D151</f>
        <v>1</v>
      </c>
      <c r="E150" s="595">
        <f>D150</f>
        <v>1</v>
      </c>
      <c r="F150" s="595">
        <v>0</v>
      </c>
      <c r="G150" s="598">
        <f>'Anexo V - ano 1 a 10 - inicial'!E151</f>
        <v>37789.80773</v>
      </c>
      <c r="H150" s="596">
        <f>F150*G150</f>
        <v>0</v>
      </c>
      <c r="I150" s="596">
        <f>H150*10/100</f>
        <v>0</v>
      </c>
    </row>
    <row r="151" spans="2:9" ht="12.75" customHeight="1" x14ac:dyDescent="0.35">
      <c r="B151" s="551"/>
      <c r="C151" s="483" t="s">
        <v>265</v>
      </c>
      <c r="D151" s="547"/>
      <c r="E151" s="547"/>
      <c r="F151" s="1029"/>
      <c r="G151" s="1029"/>
      <c r="H151" s="484">
        <f>SUM(H149:H150)</f>
        <v>0</v>
      </c>
      <c r="I151" s="484">
        <f>SUM(I149:I150)</f>
        <v>0</v>
      </c>
    </row>
    <row r="152" spans="2:9" ht="12.75" customHeight="1" x14ac:dyDescent="0.35">
      <c r="B152" s="551"/>
      <c r="C152" s="7"/>
      <c r="D152" s="7"/>
      <c r="E152" s="7"/>
      <c r="F152" s="7"/>
      <c r="G152" s="7"/>
      <c r="H152" s="309"/>
      <c r="I152" s="309"/>
    </row>
    <row r="153" spans="2:9" ht="12.75" customHeight="1" x14ac:dyDescent="0.35">
      <c r="B153" s="551"/>
      <c r="C153" s="7"/>
      <c r="D153" s="7"/>
      <c r="E153" s="7"/>
      <c r="F153" s="7"/>
      <c r="G153" s="7"/>
      <c r="H153" s="309"/>
      <c r="I153" s="309"/>
    </row>
    <row r="154" spans="2:9" ht="12.75" customHeight="1" x14ac:dyDescent="0.35">
      <c r="B154" s="551"/>
      <c r="C154" s="7"/>
      <c r="D154" s="7"/>
      <c r="E154" s="7"/>
      <c r="F154" s="7"/>
      <c r="G154" s="7"/>
      <c r="H154" s="7"/>
      <c r="I154" s="7"/>
    </row>
    <row r="155" spans="2:9" ht="15" customHeight="1" x14ac:dyDescent="0.35">
      <c r="B155" s="550">
        <v>10</v>
      </c>
      <c r="C155" s="1042" t="s">
        <v>563</v>
      </c>
      <c r="D155" s="1042"/>
      <c r="E155" s="1042"/>
      <c r="F155" s="1042"/>
      <c r="G155" s="1042"/>
      <c r="H155" s="1042"/>
      <c r="I155" s="1042"/>
    </row>
    <row r="156" spans="2:9" ht="15" customHeight="1" x14ac:dyDescent="0.35">
      <c r="B156" s="551"/>
      <c r="C156" s="1041" t="s">
        <v>449</v>
      </c>
      <c r="D156" s="1041"/>
      <c r="E156" s="1041"/>
      <c r="F156" s="1041"/>
      <c r="G156" s="1041"/>
      <c r="H156" s="521" t="s">
        <v>473</v>
      </c>
      <c r="I156" s="521" t="s">
        <v>539</v>
      </c>
    </row>
    <row r="157" spans="2:9" ht="15" customHeight="1" x14ac:dyDescent="0.35">
      <c r="B157" s="551"/>
      <c r="C157" s="1040" t="str">
        <f>'Anexo V - ano 1 a 10 - inicial'!C158</f>
        <v>EQUIPAMENTOS</v>
      </c>
      <c r="D157" s="1040"/>
      <c r="E157" s="1040"/>
      <c r="F157" s="1040"/>
      <c r="G157" s="1040"/>
      <c r="H157" s="512">
        <f>H31</f>
        <v>1147766</v>
      </c>
      <c r="I157" s="512">
        <f>I31</f>
        <v>126776.6</v>
      </c>
    </row>
    <row r="158" spans="2:9" ht="15" customHeight="1" x14ac:dyDescent="0.35">
      <c r="B158" s="551"/>
      <c r="C158" s="1040" t="str">
        <f>'Anexo V - ano 1 a 10 - inicial'!C159</f>
        <v>OBRAS</v>
      </c>
      <c r="D158" s="1040"/>
      <c r="E158" s="1040"/>
      <c r="F158" s="1040"/>
      <c r="G158" s="1040"/>
      <c r="H158" s="512">
        <f>H46</f>
        <v>10922226.98363487</v>
      </c>
      <c r="I158" s="512">
        <v>35</v>
      </c>
    </row>
    <row r="159" spans="2:9" ht="15" customHeight="1" x14ac:dyDescent="0.35">
      <c r="B159" s="551"/>
      <c r="C159" s="1040" t="str">
        <f>'Anexo V - ano 1 a 10 - inicial'!C160</f>
        <v>MOBILIÁRIO RFB</v>
      </c>
      <c r="D159" s="1040"/>
      <c r="E159" s="1040"/>
      <c r="F159" s="1040"/>
      <c r="G159" s="1040"/>
      <c r="H159" s="512">
        <f>H73</f>
        <v>0</v>
      </c>
      <c r="I159" s="512">
        <f>I73</f>
        <v>0</v>
      </c>
    </row>
    <row r="160" spans="2:9" ht="15" customHeight="1" x14ac:dyDescent="0.35">
      <c r="B160" s="551"/>
      <c r="C160" s="1040" t="str">
        <f>'Anexo V - ano 1 a 10 - inicial'!C161</f>
        <v>MOBILIÁRIO PERMISSIONÁRIA E OUTROS ÓRGÃOS</v>
      </c>
      <c r="D160" s="1040"/>
      <c r="E160" s="1040"/>
      <c r="F160" s="1040"/>
      <c r="G160" s="1040"/>
      <c r="H160" s="512">
        <f>H100</f>
        <v>154779.55003678455</v>
      </c>
      <c r="I160" s="512">
        <f>I100</f>
        <v>15477.955003678453</v>
      </c>
    </row>
    <row r="161" spans="2:9" ht="15" customHeight="1" x14ac:dyDescent="0.35">
      <c r="B161" s="551"/>
      <c r="C161" s="1040" t="str">
        <f>'Anexo V - ano 1 a 10 - inicial'!C162</f>
        <v>INFORMÁTICA - RFB E OUTROS ÓRGÃOS</v>
      </c>
      <c r="D161" s="1040"/>
      <c r="E161" s="1040"/>
      <c r="F161" s="1040"/>
      <c r="G161" s="1040"/>
      <c r="H161" s="512">
        <f>H113</f>
        <v>0</v>
      </c>
      <c r="I161" s="512">
        <f>I113</f>
        <v>0</v>
      </c>
    </row>
    <row r="162" spans="2:9" ht="15" customHeight="1" x14ac:dyDescent="0.35">
      <c r="B162" s="551"/>
      <c r="C162" s="1040" t="str">
        <f>'Anexo V - ano 1 a 10 - inicial'!C163</f>
        <v xml:space="preserve">INFORMÁTICA - PERMISSIONÁRIA </v>
      </c>
      <c r="D162" s="1040"/>
      <c r="E162" s="1040"/>
      <c r="F162" s="1040"/>
      <c r="G162" s="1040"/>
      <c r="H162" s="512">
        <f>H127</f>
        <v>27409.504391359995</v>
      </c>
      <c r="I162" s="512">
        <f>I127</f>
        <v>5481.9008782719993</v>
      </c>
    </row>
    <row r="163" spans="2:9" ht="15" customHeight="1" x14ac:dyDescent="0.35">
      <c r="B163" s="551"/>
      <c r="C163" s="1040" t="str">
        <f>'Anexo V - ano 1 a 10 - inicial'!C164</f>
        <v>SISTEMAS INFORMATIZADOS - PERMISSIONÁRIA</v>
      </c>
      <c r="D163" s="1040"/>
      <c r="E163" s="1040"/>
      <c r="F163" s="1040"/>
      <c r="G163" s="1040"/>
      <c r="H163" s="523">
        <f>H136</f>
        <v>125000</v>
      </c>
      <c r="I163" s="523">
        <f>I136</f>
        <v>25000</v>
      </c>
    </row>
    <row r="164" spans="2:9" ht="15" customHeight="1" x14ac:dyDescent="0.35">
      <c r="B164" s="551"/>
      <c r="C164" s="1040" t="str">
        <f>'Anexo V - ano 1 a 10 - inicial'!C165</f>
        <v>VEÍCULOS - PERMISSIONÁRIA</v>
      </c>
      <c r="D164" s="1040"/>
      <c r="E164" s="1040"/>
      <c r="F164" s="1040"/>
      <c r="G164" s="1040"/>
      <c r="H164" s="512">
        <f>H143</f>
        <v>0</v>
      </c>
      <c r="I164" s="512">
        <f>I143</f>
        <v>0</v>
      </c>
    </row>
    <row r="165" spans="2:9" ht="15" customHeight="1" x14ac:dyDescent="0.35">
      <c r="B165" s="551"/>
      <c r="C165" s="1040" t="str">
        <f>'Anexo V - ano 1 a 10 - inicial'!C166</f>
        <v>OUTROS SISTEMAS - PERMISSIONÁRIA</v>
      </c>
      <c r="D165" s="1040"/>
      <c r="E165" s="1040"/>
      <c r="F165" s="1040"/>
      <c r="G165" s="1040"/>
      <c r="H165" s="517">
        <f>H151</f>
        <v>0</v>
      </c>
      <c r="I165" s="517">
        <f>I151</f>
        <v>0</v>
      </c>
    </row>
    <row r="166" spans="2:9" ht="15" customHeight="1" x14ac:dyDescent="0.35">
      <c r="B166" s="551"/>
      <c r="C166" s="1038" t="s">
        <v>265</v>
      </c>
      <c r="D166" s="1038"/>
      <c r="E166" s="1038"/>
      <c r="F166" s="1038"/>
      <c r="G166" s="1038"/>
      <c r="H166" s="484">
        <f>SUM(H157:H165)</f>
        <v>12377182.038063014</v>
      </c>
      <c r="I166" s="484">
        <f>SUM(I157:I165)</f>
        <v>172771.45588195045</v>
      </c>
    </row>
    <row r="167" spans="2:9" ht="15" customHeight="1" x14ac:dyDescent="0.35">
      <c r="B167" s="551"/>
      <c r="C167" s="18"/>
      <c r="D167" s="7"/>
      <c r="E167" s="7"/>
      <c r="F167" s="7"/>
      <c r="G167" s="7"/>
      <c r="H167" s="309"/>
      <c r="I167" s="309"/>
    </row>
    <row r="168" spans="2:9" ht="15" customHeight="1" x14ac:dyDescent="0.35">
      <c r="B168" s="551"/>
      <c r="C168" s="18"/>
      <c r="D168" s="7"/>
      <c r="E168" s="7"/>
      <c r="F168" s="7"/>
      <c r="G168" s="7"/>
      <c r="H168" s="309"/>
      <c r="I168" s="309"/>
    </row>
    <row r="169" spans="2:9" ht="12.75" customHeight="1" x14ac:dyDescent="0.35">
      <c r="B169" s="551"/>
      <c r="C169" s="7"/>
      <c r="D169" s="7"/>
      <c r="E169" s="7"/>
      <c r="F169" s="7"/>
      <c r="G169" s="7"/>
      <c r="H169" s="7"/>
      <c r="I169" s="7"/>
    </row>
    <row r="170" spans="2:9" ht="15" customHeight="1" x14ac:dyDescent="0.35">
      <c r="B170" s="551"/>
      <c r="C170" s="7"/>
      <c r="D170" s="7"/>
      <c r="E170" s="1039" t="s">
        <v>543</v>
      </c>
      <c r="F170" s="1039"/>
      <c r="G170" s="1039"/>
      <c r="H170" s="1039"/>
      <c r="I170" s="1039"/>
    </row>
    <row r="171" spans="2:9" ht="28.9" customHeight="1" x14ac:dyDescent="0.35">
      <c r="B171" s="551"/>
      <c r="C171" s="7"/>
      <c r="D171" s="7"/>
      <c r="E171" s="42" t="s">
        <v>89</v>
      </c>
      <c r="F171" s="599" t="s">
        <v>544</v>
      </c>
      <c r="G171" s="599" t="s">
        <v>545</v>
      </c>
      <c r="H171" s="599" t="s">
        <v>546</v>
      </c>
      <c r="I171" s="42" t="s">
        <v>281</v>
      </c>
    </row>
    <row r="172" spans="2:9" ht="15" customHeight="1" x14ac:dyDescent="0.35">
      <c r="B172" s="551"/>
      <c r="C172" s="7"/>
      <c r="D172" s="7"/>
      <c r="E172" s="42">
        <v>1</v>
      </c>
      <c r="F172" s="30">
        <f>'Anexo V - ano 1 a 10 - inicial'!E173</f>
        <v>0</v>
      </c>
      <c r="G172" s="42"/>
      <c r="H172" s="42"/>
      <c r="I172" s="548">
        <f t="shared" ref="I172:I196" si="23">F172+G172+H172</f>
        <v>0</v>
      </c>
    </row>
    <row r="173" spans="2:9" ht="15" customHeight="1" x14ac:dyDescent="0.35">
      <c r="B173" s="551"/>
      <c r="C173" s="7"/>
      <c r="D173" s="7"/>
      <c r="E173" s="42">
        <v>2</v>
      </c>
      <c r="F173" s="30">
        <f>'Anexo V - ano 1 a 10 - inicial'!E174</f>
        <v>1195048.6497726331</v>
      </c>
      <c r="G173" s="42"/>
      <c r="H173" s="42"/>
      <c r="I173" s="548">
        <f>F173+G173+H173</f>
        <v>1195048.6497726331</v>
      </c>
    </row>
    <row r="174" spans="2:9" ht="15" customHeight="1" x14ac:dyDescent="0.35">
      <c r="B174" s="551"/>
      <c r="C174" s="7"/>
      <c r="D174" s="7"/>
      <c r="E174" s="42">
        <v>3</v>
      </c>
      <c r="F174" s="30">
        <f>'Anexo V - ano 1 a 10 - inicial'!E175</f>
        <v>3648015.7093178998</v>
      </c>
      <c r="G174" s="42"/>
      <c r="H174" s="42"/>
      <c r="I174" s="548">
        <f>F174+G174+H174</f>
        <v>3648015.7093178998</v>
      </c>
    </row>
    <row r="175" spans="2:9" ht="15" customHeight="1" x14ac:dyDescent="0.35">
      <c r="B175" s="551"/>
      <c r="C175" s="7"/>
      <c r="D175" s="7"/>
      <c r="E175" s="42">
        <v>4</v>
      </c>
      <c r="F175" s="30">
        <f>'Anexo V - ano 1 a 10 - inicial'!E176</f>
        <v>3648015.7093178998</v>
      </c>
      <c r="G175" s="42"/>
      <c r="H175" s="42"/>
      <c r="I175" s="548">
        <f t="shared" si="23"/>
        <v>3648015.7093178998</v>
      </c>
    </row>
    <row r="176" spans="2:9" ht="15" customHeight="1" x14ac:dyDescent="0.35">
      <c r="B176" s="551"/>
      <c r="C176" s="7"/>
      <c r="D176" s="7"/>
      <c r="E176" s="42">
        <v>5</v>
      </c>
      <c r="F176" s="30">
        <f>'Anexo V - ano 1 a 10 - inicial'!E177</f>
        <v>3648015.7093178998</v>
      </c>
      <c r="G176" s="42"/>
      <c r="H176" s="42"/>
      <c r="I176" s="548">
        <f t="shared" si="23"/>
        <v>3648015.7093178998</v>
      </c>
    </row>
    <row r="177" spans="2:9" ht="15" customHeight="1" x14ac:dyDescent="0.35">
      <c r="B177" s="551"/>
      <c r="C177" s="7"/>
      <c r="D177" s="7"/>
      <c r="E177" s="42">
        <v>6</v>
      </c>
      <c r="F177" s="30">
        <f>'Anexo V - ano 1 a 10 - inicial'!E178</f>
        <v>3648015.7093178998</v>
      </c>
      <c r="G177" s="478">
        <f>I$46+I$31+I$73+I$100+I$151+I$113+I$127+I$136+I$143</f>
        <v>718847.8050636939</v>
      </c>
      <c r="H177" s="42"/>
      <c r="I177" s="548">
        <f t="shared" si="23"/>
        <v>4366863.514381594</v>
      </c>
    </row>
    <row r="178" spans="2:9" ht="15" customHeight="1" x14ac:dyDescent="0.25">
      <c r="E178" s="42">
        <v>7</v>
      </c>
      <c r="F178" s="30">
        <f>'Anexo V - ano 1 a 10 - inicial'!E179</f>
        <v>3297235.6621637754</v>
      </c>
      <c r="G178" s="478">
        <f>I$46+I$31+I$73+I$100+I$151+I$113+I$127+I$136+I$143</f>
        <v>718847.8050636939</v>
      </c>
      <c r="H178" s="42"/>
      <c r="I178" s="548">
        <f>F178+G178+H178</f>
        <v>4016083.4672274692</v>
      </c>
    </row>
    <row r="179" spans="2:9" ht="15" customHeight="1" x14ac:dyDescent="0.25">
      <c r="E179" s="42">
        <v>8</v>
      </c>
      <c r="F179" s="30">
        <f>'Anexo V - ano 1 a 10 - inicial'!E180</f>
        <v>2595675.5678555276</v>
      </c>
      <c r="G179" s="478">
        <f>I$46+I$31+I$73+I$100+I$151+I$113+I$127+I$136+I$143</f>
        <v>718847.8050636939</v>
      </c>
      <c r="H179" s="42"/>
      <c r="I179" s="548">
        <f>F179+G179+H179</f>
        <v>3314523.3729192214</v>
      </c>
    </row>
    <row r="180" spans="2:9" ht="15" customHeight="1" x14ac:dyDescent="0.25">
      <c r="E180" s="42">
        <v>9</v>
      </c>
      <c r="F180" s="30">
        <f>'Anexo V - ano 1 a 10 - inicial'!E181</f>
        <v>2595675.5678555276</v>
      </c>
      <c r="G180" s="478">
        <f>I$46+I$31+I$73+I$100+I$151+I$113+I$127+I$136+I$143</f>
        <v>718847.8050636939</v>
      </c>
      <c r="H180" s="42"/>
      <c r="I180" s="548">
        <f>F180+G180+H180</f>
        <v>3314523.3729192214</v>
      </c>
    </row>
    <row r="181" spans="2:9" ht="15" customHeight="1" x14ac:dyDescent="0.25">
      <c r="E181" s="42">
        <v>10</v>
      </c>
      <c r="F181" s="30">
        <f>'Anexo V - ano 1 a 10 - inicial'!E182</f>
        <v>2595675.5678555276</v>
      </c>
      <c r="G181" s="478">
        <f>I$46+I$31+I$73+I$100+I$151+I$113+I$127+I$136+I$143</f>
        <v>718847.8050636939</v>
      </c>
      <c r="H181" s="42"/>
      <c r="I181" s="548">
        <f>F181+G181+H181</f>
        <v>3314523.3729192214</v>
      </c>
    </row>
    <row r="182" spans="2:9" ht="15" customHeight="1" x14ac:dyDescent="0.25">
      <c r="E182" s="42">
        <v>11</v>
      </c>
      <c r="F182" s="30">
        <f>'Anexo V - ano 1 a 10 - inicial'!E183</f>
        <v>2595675.5678555276</v>
      </c>
      <c r="G182" s="478">
        <f>I$46+I$31+I$73+I$100+I$151</f>
        <v>688365.90418542188</v>
      </c>
      <c r="H182" s="42"/>
      <c r="I182" s="548">
        <f t="shared" si="23"/>
        <v>3284041.4720409494</v>
      </c>
    </row>
    <row r="183" spans="2:9" ht="15" customHeight="1" x14ac:dyDescent="0.25">
      <c r="E183" s="42">
        <v>12</v>
      </c>
      <c r="F183" s="30">
        <f>'Anexo V - ano 1 a 10 - inicial'!E184</f>
        <v>2346607.024879232</v>
      </c>
      <c r="G183" s="478">
        <f>I$46+I$31+I$73+I$100+I$151</f>
        <v>688365.90418542188</v>
      </c>
      <c r="H183" s="42"/>
      <c r="I183" s="548">
        <f t="shared" si="23"/>
        <v>3034972.9290646538</v>
      </c>
    </row>
    <row r="184" spans="2:9" ht="15" customHeight="1" x14ac:dyDescent="0.25">
      <c r="E184" s="42">
        <v>13</v>
      </c>
      <c r="F184" s="30">
        <f>'Anexo V - ano 1 a 10 - inicial'!E185</f>
        <v>1848469.9389266416</v>
      </c>
      <c r="G184" s="478">
        <f>I$46+I$31+I$73+I$100+I$151</f>
        <v>688365.90418542188</v>
      </c>
      <c r="H184" s="42"/>
      <c r="I184" s="548">
        <f>F184+G184+H184</f>
        <v>2536835.8431120636</v>
      </c>
    </row>
    <row r="185" spans="2:9" ht="15" customHeight="1" x14ac:dyDescent="0.25">
      <c r="E185" s="42">
        <v>14</v>
      </c>
      <c r="F185" s="30">
        <f>'Anexo V - ano 1 a 10 - inicial'!E186</f>
        <v>1848469.9389266416</v>
      </c>
      <c r="G185" s="478">
        <f>I$46+I$31+I$73+I$100+I$151</f>
        <v>688365.90418542188</v>
      </c>
      <c r="H185" s="42"/>
      <c r="I185" s="548">
        <f t="shared" si="23"/>
        <v>2536835.8431120636</v>
      </c>
    </row>
    <row r="186" spans="2:9" ht="15" customHeight="1" x14ac:dyDescent="0.25">
      <c r="E186" s="42">
        <v>15</v>
      </c>
      <c r="F186" s="30">
        <f>'Anexo V - ano 1 a 10 - inicial'!E187</f>
        <v>1848469.9389266416</v>
      </c>
      <c r="G186" s="478">
        <f>I$46+I$31+I$73+I$100+I$151</f>
        <v>688365.90418542188</v>
      </c>
      <c r="H186" s="42"/>
      <c r="I186" s="548">
        <f>F186+G186+H186</f>
        <v>2536835.8431120636</v>
      </c>
    </row>
    <row r="187" spans="2:9" ht="15" customHeight="1" x14ac:dyDescent="0.25">
      <c r="E187" s="42">
        <v>16</v>
      </c>
      <c r="F187" s="30">
        <f>'Anexo V - ano 1 a 10 - inicial'!E188</f>
        <v>1848469.9389266416</v>
      </c>
      <c r="G187" s="478">
        <f t="shared" ref="G187:G196" si="24">I$46</f>
        <v>546111.34918174346</v>
      </c>
      <c r="H187" s="42"/>
      <c r="I187" s="548">
        <f t="shared" si="23"/>
        <v>2394581.2881083852</v>
      </c>
    </row>
    <row r="188" spans="2:9" ht="15" customHeight="1" x14ac:dyDescent="0.25">
      <c r="E188" s="42">
        <v>17</v>
      </c>
      <c r="F188" s="30">
        <f>'Anexo V - ano 1 a 10 - inicial'!E189</f>
        <v>1848469.9389266416</v>
      </c>
      <c r="G188" s="478">
        <f t="shared" si="24"/>
        <v>546111.34918174346</v>
      </c>
      <c r="H188" s="42"/>
      <c r="I188" s="548">
        <f t="shared" si="23"/>
        <v>2394581.2881083852</v>
      </c>
    </row>
    <row r="189" spans="2:9" ht="15" customHeight="1" x14ac:dyDescent="0.25">
      <c r="E189" s="42">
        <v>18</v>
      </c>
      <c r="F189" s="30">
        <f>'Anexo V - ano 1 a 10 - inicial'!E190</f>
        <v>1848469.9389266416</v>
      </c>
      <c r="G189" s="478">
        <f t="shared" si="24"/>
        <v>546111.34918174346</v>
      </c>
      <c r="H189" s="42"/>
      <c r="I189" s="548">
        <f t="shared" si="23"/>
        <v>2394581.2881083852</v>
      </c>
    </row>
    <row r="190" spans="2:9" ht="15" customHeight="1" x14ac:dyDescent="0.25">
      <c r="E190" s="42">
        <v>19</v>
      </c>
      <c r="F190" s="30">
        <f>'Anexo V - ano 1 a 10 - inicial'!E191</f>
        <v>1848469.9389266416</v>
      </c>
      <c r="G190" s="478">
        <f t="shared" si="24"/>
        <v>546111.34918174346</v>
      </c>
      <c r="H190" s="42"/>
      <c r="I190" s="548">
        <f t="shared" si="23"/>
        <v>2394581.2881083852</v>
      </c>
    </row>
    <row r="191" spans="2:9" ht="15" customHeight="1" x14ac:dyDescent="0.25">
      <c r="E191" s="42">
        <v>20</v>
      </c>
      <c r="F191" s="30">
        <f>'Anexo V - ano 1 a 10 - inicial'!E192</f>
        <v>1848469.9389266416</v>
      </c>
      <c r="G191" s="478">
        <f t="shared" si="24"/>
        <v>546111.34918174346</v>
      </c>
      <c r="H191" s="42"/>
      <c r="I191" s="548">
        <f t="shared" si="23"/>
        <v>2394581.2881083852</v>
      </c>
    </row>
    <row r="192" spans="2:9" ht="15" customHeight="1" x14ac:dyDescent="0.25">
      <c r="E192" s="42">
        <v>21</v>
      </c>
      <c r="F192" s="30">
        <f>'Anexo V - ano 1 a 10 - inicial'!E193</f>
        <v>1848469.9389266416</v>
      </c>
      <c r="G192" s="478">
        <f t="shared" si="24"/>
        <v>546111.34918174346</v>
      </c>
      <c r="H192" s="42"/>
      <c r="I192" s="548">
        <f t="shared" si="23"/>
        <v>2394581.2881083852</v>
      </c>
    </row>
    <row r="193" spans="5:9" ht="15" customHeight="1" x14ac:dyDescent="0.25">
      <c r="E193" s="42">
        <v>22</v>
      </c>
      <c r="F193" s="30">
        <f>'Anexo V - ano 1 a 10 - inicial'!E194</f>
        <v>1232313.2926177611</v>
      </c>
      <c r="G193" s="478">
        <f t="shared" si="24"/>
        <v>546111.34918174346</v>
      </c>
      <c r="H193" s="42"/>
      <c r="I193" s="548">
        <f t="shared" si="23"/>
        <v>1778424.6417995044</v>
      </c>
    </row>
    <row r="194" spans="5:9" ht="15" customHeight="1" x14ac:dyDescent="0.25">
      <c r="E194" s="42">
        <v>23</v>
      </c>
      <c r="F194" s="30">
        <f>'Anexo V - ano 1 a 10 - inicial'!E195</f>
        <v>0</v>
      </c>
      <c r="G194" s="478">
        <f t="shared" si="24"/>
        <v>546111.34918174346</v>
      </c>
      <c r="H194" s="42"/>
      <c r="I194" s="548">
        <f t="shared" si="23"/>
        <v>546111.34918174346</v>
      </c>
    </row>
    <row r="195" spans="5:9" ht="15" customHeight="1" x14ac:dyDescent="0.25">
      <c r="E195" s="42">
        <v>24</v>
      </c>
      <c r="F195" s="30">
        <f>'Anexo V - ano 1 a 10 - inicial'!E196</f>
        <v>0</v>
      </c>
      <c r="G195" s="478">
        <f t="shared" si="24"/>
        <v>546111.34918174346</v>
      </c>
      <c r="H195" s="42"/>
      <c r="I195" s="548">
        <f t="shared" si="23"/>
        <v>546111.34918174346</v>
      </c>
    </row>
    <row r="196" spans="5:9" ht="15" customHeight="1" x14ac:dyDescent="0.25">
      <c r="E196" s="42">
        <v>25</v>
      </c>
      <c r="F196" s="30">
        <f>'Anexo V - ano 1 a 10 - inicial'!E197</f>
        <v>0</v>
      </c>
      <c r="G196" s="478">
        <f t="shared" si="24"/>
        <v>546111.34918174346</v>
      </c>
      <c r="H196" s="42"/>
      <c r="I196" s="548">
        <f t="shared" si="23"/>
        <v>546111.34918174346</v>
      </c>
    </row>
  </sheetData>
  <mergeCells count="34">
    <mergeCell ref="C2:I2"/>
    <mergeCell ref="C3:I3"/>
    <mergeCell ref="C4:I4"/>
    <mergeCell ref="C10:I10"/>
    <mergeCell ref="F31:G31"/>
    <mergeCell ref="C7:D7"/>
    <mergeCell ref="E7:H7"/>
    <mergeCell ref="C35:I35"/>
    <mergeCell ref="C54:I54"/>
    <mergeCell ref="F73:G73"/>
    <mergeCell ref="C78:I78"/>
    <mergeCell ref="F100:G100"/>
    <mergeCell ref="C105:I105"/>
    <mergeCell ref="F113:G113"/>
    <mergeCell ref="C118:I118"/>
    <mergeCell ref="F127:G127"/>
    <mergeCell ref="C132:I132"/>
    <mergeCell ref="F136:G136"/>
    <mergeCell ref="C141:I141"/>
    <mergeCell ref="C147:I147"/>
    <mergeCell ref="F151:G151"/>
    <mergeCell ref="C155:I155"/>
    <mergeCell ref="C156:G156"/>
    <mergeCell ref="C157:G157"/>
    <mergeCell ref="C158:G158"/>
    <mergeCell ref="C159:G159"/>
    <mergeCell ref="C160:G160"/>
    <mergeCell ref="C166:G166"/>
    <mergeCell ref="E170:I170"/>
    <mergeCell ref="C161:G161"/>
    <mergeCell ref="C162:G162"/>
    <mergeCell ref="C163:G163"/>
    <mergeCell ref="C164:G164"/>
    <mergeCell ref="C165:G165"/>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sheetPr>
  <dimension ref="B2:L196"/>
  <sheetViews>
    <sheetView topLeftCell="C160" workbookViewId="0">
      <selection activeCell="F173" sqref="F173"/>
    </sheetView>
  </sheetViews>
  <sheetFormatPr defaultRowHeight="12.5" x14ac:dyDescent="0.25"/>
  <cols>
    <col min="1" max="1" width="4.81640625" customWidth="1"/>
    <col min="2" max="2" width="4.453125" customWidth="1"/>
    <col min="3" max="3" width="61" customWidth="1"/>
    <col min="4" max="4" width="20" customWidth="1"/>
    <col min="5" max="5" width="20.453125" customWidth="1"/>
    <col min="6" max="6" width="20.1796875" customWidth="1"/>
    <col min="7" max="7" width="20.7265625" customWidth="1"/>
    <col min="8" max="8" width="19.54296875" customWidth="1"/>
    <col min="9" max="9" width="18.7265625" customWidth="1"/>
    <col min="10" max="10" width="7.26953125" customWidth="1"/>
    <col min="11" max="11" width="8.7265625" customWidth="1"/>
    <col min="12" max="12" width="18.453125" customWidth="1"/>
    <col min="13" max="26" width="8.7265625" customWidth="1"/>
    <col min="27" max="1025" width="14.453125" customWidth="1"/>
  </cols>
  <sheetData>
    <row r="2" spans="2:12" ht="12.75" customHeight="1" x14ac:dyDescent="0.35">
      <c r="B2" s="7"/>
      <c r="C2" s="949" t="s">
        <v>70</v>
      </c>
      <c r="D2" s="949"/>
      <c r="E2" s="949"/>
      <c r="F2" s="949"/>
      <c r="G2" s="949"/>
      <c r="H2" s="949"/>
      <c r="I2" s="949"/>
      <c r="J2" s="7"/>
      <c r="K2" s="7"/>
      <c r="L2" s="7"/>
    </row>
    <row r="3" spans="2:12" ht="12.75" customHeight="1" x14ac:dyDescent="0.35">
      <c r="B3" s="7"/>
      <c r="C3" s="950" t="s">
        <v>71</v>
      </c>
      <c r="D3" s="950"/>
      <c r="E3" s="950"/>
      <c r="F3" s="950"/>
      <c r="G3" s="950"/>
      <c r="H3" s="950"/>
      <c r="I3" s="950"/>
      <c r="J3" s="7"/>
      <c r="K3" s="7"/>
      <c r="L3" s="7"/>
    </row>
    <row r="4" spans="2:12" ht="12.75" customHeight="1" x14ac:dyDescent="0.35">
      <c r="B4" s="7"/>
      <c r="C4" s="951"/>
      <c r="D4" s="951"/>
      <c r="E4" s="951"/>
      <c r="F4" s="951"/>
      <c r="G4" s="951"/>
      <c r="H4" s="951"/>
      <c r="I4" s="951"/>
      <c r="J4" s="7"/>
      <c r="K4" s="7"/>
      <c r="L4" s="7"/>
    </row>
    <row r="5" spans="2:12" ht="12.75" customHeight="1" x14ac:dyDescent="0.3">
      <c r="B5" s="7"/>
      <c r="C5" s="119"/>
      <c r="D5" s="119"/>
      <c r="E5" s="119"/>
      <c r="F5" s="119"/>
      <c r="G5" s="119"/>
      <c r="H5" s="119"/>
      <c r="I5" s="119"/>
      <c r="J5" s="7"/>
      <c r="K5" s="7"/>
      <c r="L5" s="7"/>
    </row>
    <row r="6" spans="2:12" ht="12.75" customHeight="1" x14ac:dyDescent="0.25">
      <c r="B6" s="7"/>
      <c r="C6" s="7"/>
      <c r="D6" s="7"/>
      <c r="E6" s="7"/>
      <c r="F6" s="7"/>
      <c r="G6" s="7"/>
      <c r="H6" s="7"/>
      <c r="I6" s="7"/>
      <c r="J6" s="7"/>
      <c r="K6" s="7"/>
      <c r="L6" s="7"/>
    </row>
    <row r="7" spans="2:12" ht="16.899999999999999" customHeight="1" x14ac:dyDescent="0.35">
      <c r="B7" s="7"/>
      <c r="C7" s="1048" t="s">
        <v>564</v>
      </c>
      <c r="D7" s="1048"/>
      <c r="E7" s="1049" t="s">
        <v>548</v>
      </c>
      <c r="F7" s="1050"/>
      <c r="G7" s="1051"/>
      <c r="H7" s="1052"/>
      <c r="I7" s="7"/>
      <c r="J7" s="7"/>
      <c r="K7" s="7"/>
      <c r="L7" s="7"/>
    </row>
    <row r="8" spans="2:12" ht="12.75" customHeight="1" x14ac:dyDescent="0.35">
      <c r="B8" s="7"/>
      <c r="C8" s="105"/>
      <c r="D8" s="105"/>
      <c r="E8" s="7"/>
      <c r="F8" s="7"/>
      <c r="G8" s="7"/>
      <c r="H8" s="7"/>
      <c r="I8" s="7"/>
      <c r="J8" s="7"/>
      <c r="K8" s="7"/>
      <c r="L8" s="7"/>
    </row>
    <row r="9" spans="2:12" ht="12.75" customHeight="1" x14ac:dyDescent="0.3">
      <c r="B9" s="7"/>
      <c r="C9" s="98"/>
      <c r="D9" s="7"/>
      <c r="E9" s="7"/>
      <c r="F9" s="7"/>
      <c r="G9" s="7"/>
      <c r="H9" s="7"/>
      <c r="I9" s="7"/>
      <c r="J9" s="7"/>
      <c r="K9" s="7"/>
      <c r="L9" s="7"/>
    </row>
    <row r="10" spans="2:12" ht="12.75" customHeight="1" x14ac:dyDescent="0.35">
      <c r="B10" s="550">
        <v>1</v>
      </c>
      <c r="C10" s="1033" t="s">
        <v>448</v>
      </c>
      <c r="D10" s="1033"/>
      <c r="E10" s="1033"/>
      <c r="F10" s="1033"/>
      <c r="G10" s="1033"/>
      <c r="H10" s="1033"/>
      <c r="I10" s="1033"/>
      <c r="J10" s="7"/>
      <c r="K10" s="7"/>
      <c r="L10" s="7"/>
    </row>
    <row r="11" spans="2:12" ht="28.75" customHeight="1" x14ac:dyDescent="0.35">
      <c r="B11" s="551"/>
      <c r="C11" s="470" t="s">
        <v>449</v>
      </c>
      <c r="D11" s="472" t="s">
        <v>550</v>
      </c>
      <c r="E11" s="472" t="s">
        <v>565</v>
      </c>
      <c r="F11" s="472" t="s">
        <v>551</v>
      </c>
      <c r="G11" s="472" t="s">
        <v>528</v>
      </c>
      <c r="H11" s="472" t="s">
        <v>473</v>
      </c>
      <c r="I11" s="472" t="s">
        <v>566</v>
      </c>
      <c r="J11" s="7"/>
      <c r="K11" s="7"/>
      <c r="L11" s="7">
        <v>10</v>
      </c>
    </row>
    <row r="12" spans="2:12" ht="12.75" customHeight="1" x14ac:dyDescent="0.35">
      <c r="B12" s="551"/>
      <c r="C12" s="42" t="s">
        <v>455</v>
      </c>
      <c r="D12" s="473">
        <v>1</v>
      </c>
      <c r="E12" s="473">
        <v>2</v>
      </c>
      <c r="F12" s="473">
        <f t="shared" ref="F12:F29" si="0">E12-D12</f>
        <v>1</v>
      </c>
      <c r="G12" s="474">
        <f>'Anexo V - ano 1 a 10 - inicial'!F12</f>
        <v>104487.86</v>
      </c>
      <c r="H12" s="475">
        <f>F12*G12</f>
        <v>104487.86</v>
      </c>
      <c r="I12" s="475">
        <f>H12*10/100</f>
        <v>10448.786</v>
      </c>
      <c r="J12" s="7"/>
      <c r="K12" s="7"/>
      <c r="L12" s="7"/>
    </row>
    <row r="13" spans="2:12" ht="12.75" customHeight="1" x14ac:dyDescent="0.35">
      <c r="B13" s="551"/>
      <c r="C13" s="42" t="s">
        <v>456</v>
      </c>
      <c r="D13" s="473">
        <f>'Anexo V - ano 11 a 15'!E13</f>
        <v>0</v>
      </c>
      <c r="E13" s="473">
        <v>0</v>
      </c>
      <c r="F13" s="473">
        <f t="shared" si="0"/>
        <v>0</v>
      </c>
      <c r="G13" s="474">
        <f>'Anexo V - ano 1 a 10 - inicial'!E13</f>
        <v>0</v>
      </c>
      <c r="H13" s="475">
        <f t="shared" ref="H13:H29" si="1">F13*G13</f>
        <v>0</v>
      </c>
      <c r="I13" s="475">
        <f>H13*10/100</f>
        <v>0</v>
      </c>
      <c r="J13" s="7"/>
      <c r="K13" s="7"/>
      <c r="L13" s="7"/>
    </row>
    <row r="14" spans="2:12" ht="12.75" customHeight="1" x14ac:dyDescent="0.35">
      <c r="B14" s="551"/>
      <c r="C14" s="42" t="str">
        <f>'Memoria-equipamentoXfuncionario'!D31</f>
        <v>Reach Stacker</v>
      </c>
      <c r="D14" s="473">
        <f>'Anexo V - ano 11 a 15'!E14</f>
        <v>2</v>
      </c>
      <c r="E14" s="473">
        <v>2</v>
      </c>
      <c r="F14" s="473">
        <f t="shared" si="0"/>
        <v>0</v>
      </c>
      <c r="G14" s="474">
        <f>'Anexo V - ano 1 a 10 - inicial'!E14</f>
        <v>1126791</v>
      </c>
      <c r="H14" s="475">
        <f t="shared" si="1"/>
        <v>0</v>
      </c>
      <c r="I14" s="475">
        <f>H14*10/100</f>
        <v>0</v>
      </c>
      <c r="J14" s="7"/>
      <c r="K14" s="7"/>
      <c r="L14" s="7"/>
    </row>
    <row r="15" spans="2:12" ht="12.75" customHeight="1" x14ac:dyDescent="0.35">
      <c r="B15" s="551"/>
      <c r="C15" s="42" t="str">
        <f>'Memoria-equipamentoXfuncionario'!E31</f>
        <v>Empilhadeira 3t</v>
      </c>
      <c r="D15" s="473">
        <f>'Anexo V - ano 11 a 15'!E15</f>
        <v>4</v>
      </c>
      <c r="E15" s="473">
        <v>5</v>
      </c>
      <c r="F15" s="473">
        <f t="shared" si="0"/>
        <v>1</v>
      </c>
      <c r="G15" s="474">
        <f>'Anexo V - ano 1 a 10 - inicial'!E15</f>
        <v>120000</v>
      </c>
      <c r="H15" s="475">
        <f>F15*G15</f>
        <v>120000</v>
      </c>
      <c r="I15" s="475">
        <f t="shared" ref="I15:I30" si="2">H15*10/100</f>
        <v>12000</v>
      </c>
      <c r="J15" s="7"/>
      <c r="K15" s="7"/>
      <c r="L15" s="7"/>
    </row>
    <row r="16" spans="2:12" ht="12.75" customHeight="1" x14ac:dyDescent="0.35">
      <c r="B16" s="551"/>
      <c r="C16" s="42" t="str">
        <f>'Memoria-equipamentoXfuncionario'!F31</f>
        <v>Empilhadeira 6t</v>
      </c>
      <c r="D16" s="473">
        <f>'Anexo V - ano 11 a 15'!E16</f>
        <v>1</v>
      </c>
      <c r="E16" s="473">
        <v>1</v>
      </c>
      <c r="F16" s="473">
        <f t="shared" si="0"/>
        <v>0</v>
      </c>
      <c r="G16" s="474">
        <f>'Anexo V - ano 1 a 10 - inicial'!E16</f>
        <v>516000</v>
      </c>
      <c r="H16" s="475">
        <f t="shared" si="1"/>
        <v>0</v>
      </c>
      <c r="I16" s="475">
        <f t="shared" si="2"/>
        <v>0</v>
      </c>
      <c r="J16" s="7"/>
      <c r="K16" s="7"/>
      <c r="L16" s="7"/>
    </row>
    <row r="17" spans="2:9" ht="12.75" customHeight="1" x14ac:dyDescent="0.35">
      <c r="B17" s="551"/>
      <c r="C17" s="42" t="str">
        <f>'Memória-manutenção'!H10</f>
        <v>Empilhadeira 7t</v>
      </c>
      <c r="D17" s="473">
        <f>'Anexo V - ano 11 a 15'!E17</f>
        <v>1</v>
      </c>
      <c r="E17" s="473">
        <v>1</v>
      </c>
      <c r="F17" s="473">
        <f t="shared" si="0"/>
        <v>0</v>
      </c>
      <c r="G17" s="474">
        <f>'Anexo V - ano 1 a 10 - inicial'!E17</f>
        <v>606000</v>
      </c>
      <c r="H17" s="475">
        <f t="shared" ref="H17:H18" si="3">F17*G17</f>
        <v>0</v>
      </c>
      <c r="I17" s="475">
        <f t="shared" ref="I17:I19" si="4">H17*10/100</f>
        <v>0</v>
      </c>
    </row>
    <row r="18" spans="2:9" ht="12.75" customHeight="1" x14ac:dyDescent="0.35">
      <c r="B18" s="551"/>
      <c r="C18" s="42" t="str">
        <f>'Memória-manutenção'!I10</f>
        <v>Empilhadeira 16t</v>
      </c>
      <c r="D18" s="473">
        <f>'Anexo V - ano 11 a 15'!E18</f>
        <v>1</v>
      </c>
      <c r="E18" s="473">
        <v>1</v>
      </c>
      <c r="F18" s="473">
        <f t="shared" si="0"/>
        <v>0</v>
      </c>
      <c r="G18" s="474">
        <f>'Anexo V - ano 1 a 10 - inicial'!E18</f>
        <v>1124390</v>
      </c>
      <c r="H18" s="475">
        <f t="shared" si="3"/>
        <v>0</v>
      </c>
      <c r="I18" s="475">
        <f t="shared" si="4"/>
        <v>0</v>
      </c>
    </row>
    <row r="19" spans="2:9" ht="12.75" customHeight="1" x14ac:dyDescent="0.35">
      <c r="B19" s="551"/>
      <c r="C19" s="42" t="s">
        <v>457</v>
      </c>
      <c r="D19" s="473">
        <f>'Anexo V - ano 11 a 15'!E19</f>
        <v>8</v>
      </c>
      <c r="E19" s="473">
        <v>12</v>
      </c>
      <c r="F19" s="473">
        <f t="shared" si="0"/>
        <v>4</v>
      </c>
      <c r="G19" s="474">
        <f>'Anexo V - ano 1 a 10 - inicial'!E19</f>
        <v>2150</v>
      </c>
      <c r="H19" s="475">
        <f>F19*G19</f>
        <v>8600</v>
      </c>
      <c r="I19" s="475">
        <f t="shared" si="4"/>
        <v>860</v>
      </c>
    </row>
    <row r="20" spans="2:9" ht="12.75" customHeight="1" x14ac:dyDescent="0.35">
      <c r="B20" s="551"/>
      <c r="C20" s="42" t="s">
        <v>458</v>
      </c>
      <c r="D20" s="473">
        <v>6</v>
      </c>
      <c r="E20" s="473">
        <v>12</v>
      </c>
      <c r="F20" s="473">
        <f t="shared" si="0"/>
        <v>6</v>
      </c>
      <c r="G20" s="474">
        <f>'Anexo V - ano 1 a 10 - inicial'!E20</f>
        <v>8250</v>
      </c>
      <c r="H20" s="475">
        <f>F20*G20</f>
        <v>49500</v>
      </c>
      <c r="I20" s="475">
        <f t="shared" si="2"/>
        <v>4950</v>
      </c>
    </row>
    <row r="21" spans="2:9" ht="12.75" customHeight="1" x14ac:dyDescent="0.35">
      <c r="B21" s="551"/>
      <c r="C21" s="42" t="s">
        <v>459</v>
      </c>
      <c r="D21" s="473">
        <f>'Anexo V - ano 11 a 15'!E21</f>
        <v>2</v>
      </c>
      <c r="E21" s="473">
        <v>2</v>
      </c>
      <c r="F21" s="473">
        <f t="shared" si="0"/>
        <v>0</v>
      </c>
      <c r="G21" s="474">
        <f>'Anexo V - ano 1 a 10 - inicial'!E21</f>
        <v>875</v>
      </c>
      <c r="H21" s="475">
        <f t="shared" si="1"/>
        <v>0</v>
      </c>
      <c r="I21" s="475">
        <f t="shared" si="2"/>
        <v>0</v>
      </c>
    </row>
    <row r="22" spans="2:9" ht="12.75" customHeight="1" x14ac:dyDescent="0.35">
      <c r="B22" s="551"/>
      <c r="C22" s="42" t="s">
        <v>460</v>
      </c>
      <c r="D22" s="473">
        <f>'Anexo V - ano 11 a 15'!E22</f>
        <v>2</v>
      </c>
      <c r="E22" s="473">
        <v>3</v>
      </c>
      <c r="F22" s="473">
        <f t="shared" si="0"/>
        <v>1</v>
      </c>
      <c r="G22" s="474">
        <f>'Anexo V - ano 1 a 10 - inicial'!E22</f>
        <v>1250</v>
      </c>
      <c r="H22" s="475">
        <f t="shared" si="1"/>
        <v>1250</v>
      </c>
      <c r="I22" s="475">
        <f t="shared" si="2"/>
        <v>125</v>
      </c>
    </row>
    <row r="23" spans="2:9" ht="12.75" customHeight="1" x14ac:dyDescent="0.35">
      <c r="B23" s="551"/>
      <c r="C23" s="42" t="s">
        <v>461</v>
      </c>
      <c r="D23" s="473">
        <f>'Anexo V - ano 11 a 15'!E23</f>
        <v>2</v>
      </c>
      <c r="E23" s="473">
        <v>2</v>
      </c>
      <c r="F23" s="473">
        <f t="shared" si="0"/>
        <v>0</v>
      </c>
      <c r="G23" s="474">
        <f>'Anexo V - ano 1 a 10 - inicial'!E23</f>
        <v>2850</v>
      </c>
      <c r="H23" s="475">
        <f t="shared" si="1"/>
        <v>0</v>
      </c>
      <c r="I23" s="475">
        <f t="shared" si="2"/>
        <v>0</v>
      </c>
    </row>
    <row r="24" spans="2:9" ht="12.75" customHeight="1" x14ac:dyDescent="0.35">
      <c r="B24" s="551"/>
      <c r="C24" s="42" t="s">
        <v>462</v>
      </c>
      <c r="D24" s="473">
        <f>'Anexo V - ano 11 a 15'!E24</f>
        <v>4</v>
      </c>
      <c r="E24" s="473">
        <v>4</v>
      </c>
      <c r="F24" s="473">
        <f t="shared" si="0"/>
        <v>0</v>
      </c>
      <c r="G24" s="474">
        <f>'Anexo V - ano 1 a 10 - inicial'!E24</f>
        <v>3700</v>
      </c>
      <c r="H24" s="475">
        <f t="shared" si="1"/>
        <v>0</v>
      </c>
      <c r="I24" s="475">
        <f t="shared" si="2"/>
        <v>0</v>
      </c>
    </row>
    <row r="25" spans="2:9" ht="12.75" customHeight="1" x14ac:dyDescent="0.35">
      <c r="B25" s="551"/>
      <c r="C25" s="477" t="s">
        <v>463</v>
      </c>
      <c r="D25" s="473">
        <f>'Anexo V - ano 11 a 15'!E25</f>
        <v>1</v>
      </c>
      <c r="E25" s="473">
        <v>1</v>
      </c>
      <c r="F25" s="473">
        <f t="shared" si="0"/>
        <v>0</v>
      </c>
      <c r="G25" s="474">
        <f>'Anexo V - ano 1 a 10 - inicial'!E25</f>
        <v>125000</v>
      </c>
      <c r="H25" s="475">
        <f t="shared" si="1"/>
        <v>0</v>
      </c>
      <c r="I25" s="475">
        <f t="shared" si="2"/>
        <v>0</v>
      </c>
    </row>
    <row r="26" spans="2:9" ht="12.75" customHeight="1" x14ac:dyDescent="0.35">
      <c r="B26" s="551"/>
      <c r="C26" s="477" t="s">
        <v>464</v>
      </c>
      <c r="D26" s="473">
        <f>'Anexo V - ano 11 a 15'!E26</f>
        <v>1</v>
      </c>
      <c r="E26" s="473">
        <v>1</v>
      </c>
      <c r="F26" s="473">
        <f t="shared" si="0"/>
        <v>0</v>
      </c>
      <c r="G26" s="474">
        <f>'Anexo V - ano 1 a 10 - inicial'!E26</f>
        <v>325000</v>
      </c>
      <c r="H26" s="475">
        <f t="shared" si="1"/>
        <v>0</v>
      </c>
      <c r="I26" s="475">
        <f t="shared" si="2"/>
        <v>0</v>
      </c>
    </row>
    <row r="27" spans="2:9" ht="12.75" customHeight="1" x14ac:dyDescent="0.35">
      <c r="B27" s="551"/>
      <c r="C27" s="42" t="s">
        <v>465</v>
      </c>
      <c r="D27" s="473">
        <f>'Anexo V - ano 11 a 15'!E27</f>
        <v>1</v>
      </c>
      <c r="E27" s="473">
        <v>2</v>
      </c>
      <c r="F27" s="473">
        <f t="shared" si="0"/>
        <v>1</v>
      </c>
      <c r="G27" s="474">
        <v>86250</v>
      </c>
      <c r="H27" s="475">
        <f t="shared" si="1"/>
        <v>86250</v>
      </c>
      <c r="I27" s="475">
        <f t="shared" si="2"/>
        <v>8625</v>
      </c>
    </row>
    <row r="28" spans="2:9" ht="12.75" customHeight="1" x14ac:dyDescent="0.35">
      <c r="B28" s="551"/>
      <c r="C28" s="42" t="s">
        <v>466</v>
      </c>
      <c r="D28" s="473">
        <f>'Anexo V - ano 11 a 15'!E28</f>
        <v>1</v>
      </c>
      <c r="E28" s="473">
        <v>1</v>
      </c>
      <c r="F28" s="473">
        <f t="shared" si="0"/>
        <v>0</v>
      </c>
      <c r="G28" s="474">
        <f>'Anexo V - ano 1 a 10 - inicial'!E28</f>
        <v>1500000</v>
      </c>
      <c r="H28" s="896">
        <f t="shared" si="1"/>
        <v>0</v>
      </c>
      <c r="I28" s="896">
        <f t="shared" si="2"/>
        <v>0</v>
      </c>
    </row>
    <row r="29" spans="2:9" ht="12.75" customHeight="1" x14ac:dyDescent="0.35">
      <c r="B29" s="551"/>
      <c r="C29" s="42" t="s">
        <v>467</v>
      </c>
      <c r="D29" s="473">
        <f>'Anexo V - ano 11 a 15'!E29</f>
        <v>1</v>
      </c>
      <c r="E29" s="939">
        <v>2</v>
      </c>
      <c r="F29" s="473">
        <f t="shared" si="0"/>
        <v>1</v>
      </c>
      <c r="G29" s="474">
        <f>'Anexo V - ano 1 a 10 - inicial'!E29</f>
        <v>385000</v>
      </c>
      <c r="H29" s="475">
        <f t="shared" si="1"/>
        <v>385000</v>
      </c>
      <c r="I29" s="475">
        <f t="shared" si="2"/>
        <v>38500</v>
      </c>
    </row>
    <row r="30" spans="2:9" ht="12.75" customHeight="1" thickBot="1" x14ac:dyDescent="0.4">
      <c r="B30" s="551"/>
      <c r="C30" s="479" t="s">
        <v>468</v>
      </c>
      <c r="D30" s="600"/>
      <c r="E30" s="600"/>
      <c r="F30" s="600"/>
      <c r="G30" s="481"/>
      <c r="H30" s="482">
        <f>(SUM(H12:H29)*I33)</f>
        <v>113263.17899999999</v>
      </c>
      <c r="I30" s="475">
        <f t="shared" si="2"/>
        <v>11326.317899999998</v>
      </c>
    </row>
    <row r="31" spans="2:9" ht="12.75" customHeight="1" x14ac:dyDescent="0.35">
      <c r="B31" s="551"/>
      <c r="C31" s="483" t="s">
        <v>265</v>
      </c>
      <c r="D31" s="547"/>
      <c r="E31" s="547"/>
      <c r="F31" s="1029"/>
      <c r="G31" s="1029"/>
      <c r="H31" s="484">
        <f>SUM(H12:H30)</f>
        <v>868351.03899999999</v>
      </c>
      <c r="I31" s="484">
        <f>H31*0.1</f>
        <v>86835.103900000002</v>
      </c>
    </row>
    <row r="33" spans="2:12" ht="12.75" customHeight="1" x14ac:dyDescent="0.35">
      <c r="B33" s="551"/>
      <c r="C33" s="7"/>
      <c r="D33" s="7"/>
      <c r="E33" s="7"/>
      <c r="F33" s="7"/>
      <c r="G33" s="7"/>
      <c r="H33" s="601" t="s">
        <v>469</v>
      </c>
      <c r="I33" s="486">
        <v>0.15</v>
      </c>
      <c r="J33" s="7"/>
      <c r="K33" s="7"/>
      <c r="L33" s="7"/>
    </row>
    <row r="34" spans="2:12" ht="12.75" customHeight="1" x14ac:dyDescent="0.35">
      <c r="B34" s="551"/>
      <c r="C34" s="7"/>
      <c r="D34" s="7"/>
      <c r="E34" s="7"/>
      <c r="F34" s="7"/>
      <c r="G34" s="7"/>
      <c r="H34" s="309"/>
      <c r="I34" s="309"/>
      <c r="J34" s="7"/>
      <c r="K34" s="7"/>
      <c r="L34" s="7"/>
    </row>
    <row r="35" spans="2:12" ht="12.75" customHeight="1" x14ac:dyDescent="0.35">
      <c r="B35" s="550">
        <v>2</v>
      </c>
      <c r="C35" s="1043" t="s">
        <v>470</v>
      </c>
      <c r="D35" s="1043"/>
      <c r="E35" s="1043"/>
      <c r="F35" s="1043"/>
      <c r="G35" s="1043"/>
      <c r="H35" s="1043"/>
      <c r="I35" s="1043"/>
      <c r="J35" s="7"/>
      <c r="K35" s="7"/>
      <c r="L35" s="7"/>
    </row>
    <row r="36" spans="2:12" ht="28.75" customHeight="1" x14ac:dyDescent="0.35">
      <c r="B36" s="551"/>
      <c r="C36" s="487" t="s">
        <v>449</v>
      </c>
      <c r="D36" s="472" t="s">
        <v>550</v>
      </c>
      <c r="E36" s="472" t="s">
        <v>565</v>
      </c>
      <c r="F36" s="472" t="s">
        <v>551</v>
      </c>
      <c r="G36" s="489" t="s">
        <v>552</v>
      </c>
      <c r="H36" s="489" t="s">
        <v>473</v>
      </c>
      <c r="I36" s="472" t="s">
        <v>567</v>
      </c>
      <c r="J36" s="490"/>
      <c r="K36" s="7"/>
      <c r="L36" s="7">
        <v>10</v>
      </c>
    </row>
    <row r="37" spans="2:12" ht="12.75" customHeight="1" x14ac:dyDescent="0.35">
      <c r="B37" s="551"/>
      <c r="C37" s="602" t="str">
        <f>'Anexo V - ano 11 a 15'!C37</f>
        <v>Estacionamento RFB/demais órgãos e Permissionária</v>
      </c>
      <c r="D37" s="603">
        <f>'Anexo V - ano 11 a 15'!D37</f>
        <v>1350</v>
      </c>
      <c r="E37" s="603">
        <f>'Anexo V - ano 11 a 15'!E37</f>
        <v>1350</v>
      </c>
      <c r="F37" s="604">
        <f>'Anexo V - ano 11 a 15'!F37</f>
        <v>0</v>
      </c>
      <c r="G37" s="604">
        <f>'Anexo V - ano 11 a 15'!G37</f>
        <v>343.75</v>
      </c>
      <c r="H37" s="493">
        <f>F37*G37</f>
        <v>0</v>
      </c>
      <c r="I37" s="493">
        <f>'Anexo V - ano 11 a 15'!I37</f>
        <v>0</v>
      </c>
      <c r="J37" s="7"/>
      <c r="K37" s="7"/>
      <c r="L37" s="7"/>
    </row>
    <row r="38" spans="2:12" ht="12.75" customHeight="1" x14ac:dyDescent="0.35">
      <c r="B38" s="551"/>
      <c r="C38" s="42" t="str">
        <f>'Anexo V - ano 1 a 10 - inicial'!C38</f>
        <v>Armazem (área para : carga geral, guarda de amostras, guarda de mercadoria apreendida...) (m²)</v>
      </c>
      <c r="D38" s="562">
        <f>'Anexo V - ano 11 a 15'!E38</f>
        <v>7187.9395241358743</v>
      </c>
      <c r="E38" s="562">
        <f>'Anexo IV - ano 16 a 25'!C27-E40</f>
        <v>8424.4487767065548</v>
      </c>
      <c r="F38" s="515">
        <f t="shared" ref="F38:F43" si="5">E38-D38</f>
        <v>1236.5092525706805</v>
      </c>
      <c r="G38" s="732">
        <f>'Anexo V - ano 1 a 10 - inicial'!E38</f>
        <v>2544.8000000000002</v>
      </c>
      <c r="H38" s="493">
        <f>F38*G38</f>
        <v>3146668.7459418681</v>
      </c>
      <c r="I38" s="493">
        <f>H38*0.1</f>
        <v>314666.87459418684</v>
      </c>
      <c r="J38" s="7"/>
      <c r="K38" s="7"/>
      <c r="L38" s="7"/>
    </row>
    <row r="39" spans="2:12" ht="12.75" customHeight="1" x14ac:dyDescent="0.35">
      <c r="B39" s="551"/>
      <c r="C39" s="42" t="str">
        <f>'Anexo V - ano 1 a 10 - inicial'!C39</f>
        <v>Pátio (incluindo área de estacionamento e “pulmão”  para estacionamento de caminhões antes da entrada no recinto) (m²)</v>
      </c>
      <c r="D39" s="562">
        <f>'Anexo V - ano 11 a 15'!E39</f>
        <v>35428.804263788312</v>
      </c>
      <c r="E39" s="562">
        <f>'Anexo IV - ano 16 a 25'!D38</f>
        <v>41523.463815748917</v>
      </c>
      <c r="F39" s="515">
        <f t="shared" si="5"/>
        <v>6094.6595519606053</v>
      </c>
      <c r="G39" s="495">
        <f>'Anexo V - ano 1 a 10 - inicial'!E39</f>
        <v>423.54</v>
      </c>
      <c r="H39" s="493">
        <f>F39*G39</f>
        <v>2581332.106637395</v>
      </c>
      <c r="I39" s="493">
        <f>H39*0.1</f>
        <v>258133.2106637395</v>
      </c>
      <c r="J39" s="7"/>
      <c r="K39" s="7"/>
      <c r="L39" s="7"/>
    </row>
    <row r="40" spans="2:12" ht="12.75" customHeight="1" x14ac:dyDescent="0.35">
      <c r="B40" s="551"/>
      <c r="C40" s="42" t="str">
        <f>'Anexo V - ano 1 a 10 - inicial'!C40</f>
        <v>Área para conferência/guarda de mercadorias refrigeradas</v>
      </c>
      <c r="D40" s="562">
        <f>'Anexo IV - ano 11 a 15'!C25</f>
        <v>0</v>
      </c>
      <c r="E40" s="562">
        <f>'Anexo IV - ano 16 a 25'!C25</f>
        <v>0</v>
      </c>
      <c r="F40" s="515">
        <f t="shared" si="5"/>
        <v>0</v>
      </c>
      <c r="G40" s="495">
        <f>'Anexo V - ano 1 a 10 - inicial'!E40</f>
        <v>8312.5</v>
      </c>
      <c r="H40" s="493">
        <f t="shared" ref="H40" si="6">F40*G40</f>
        <v>0</v>
      </c>
      <c r="I40" s="493">
        <f t="shared" ref="I40" si="7">H40*0.1</f>
        <v>0</v>
      </c>
      <c r="J40" s="7"/>
      <c r="K40" s="7"/>
      <c r="L40" s="7"/>
    </row>
    <row r="41" spans="2:12" ht="15" customHeight="1" x14ac:dyDescent="0.25">
      <c r="B41" s="7"/>
      <c r="C41" s="42" t="str">
        <f>'Anexo V - ano 1 a 10 - inicial'!C41</f>
        <v xml:space="preserve">Iluminação de pátio, com posteamento de quatro refletores a cada 1000 m² </v>
      </c>
      <c r="D41" s="491">
        <f>'Anexo V - ano 11 a 15'!E41</f>
        <v>20</v>
      </c>
      <c r="E41" s="491">
        <f>ROUND('Anexo IV - ano 16 a 25'!D29/1000,0)</f>
        <v>24</v>
      </c>
      <c r="F41" s="515">
        <f t="shared" si="5"/>
        <v>4</v>
      </c>
      <c r="G41" s="495">
        <f>'Anexo V - ano 1 a 10 - inicial'!E41</f>
        <v>9312.5</v>
      </c>
      <c r="H41" s="493">
        <f>F41*G41</f>
        <v>37250</v>
      </c>
      <c r="I41" s="493">
        <f>H41*0.1</f>
        <v>3725</v>
      </c>
      <c r="J41" s="7"/>
      <c r="K41" s="7"/>
      <c r="L41" s="7"/>
    </row>
    <row r="42" spans="2:12" ht="12.75" customHeight="1" x14ac:dyDescent="0.35">
      <c r="B42" s="551"/>
      <c r="C42" s="42" t="str">
        <f>'Anexo V - ano 1 a 10 - inicial'!C42</f>
        <v>Área administrativa - escritórios</v>
      </c>
      <c r="D42" s="562">
        <f>'Anexo V - ano 11 a 15'!E42</f>
        <v>1215</v>
      </c>
      <c r="E42" s="562">
        <f>'Anexo IV - ano 16 a 25'!D46-E37</f>
        <v>1235</v>
      </c>
      <c r="F42" s="515">
        <f t="shared" si="5"/>
        <v>20</v>
      </c>
      <c r="G42" s="732">
        <f>'Anexo V - ano 1 a 10 - inicial'!E42</f>
        <v>2859.63</v>
      </c>
      <c r="H42" s="493">
        <f>F42*G42</f>
        <v>57192.600000000006</v>
      </c>
      <c r="I42" s="493">
        <f>H42*0.1</f>
        <v>5719.2600000000011</v>
      </c>
      <c r="J42" s="7"/>
      <c r="K42" s="7"/>
      <c r="L42" s="7"/>
    </row>
    <row r="43" spans="2:12" ht="12.75" customHeight="1" x14ac:dyDescent="0.35">
      <c r="B43" s="551"/>
      <c r="C43" s="42" t="str">
        <f>'Anexo V - ano 1 a 10 - inicial'!C43</f>
        <v>Cercamento (m)</v>
      </c>
      <c r="D43" s="562">
        <f>'Anexo V - ano 11 a 15'!E43</f>
        <v>850.23990767711382</v>
      </c>
      <c r="E43" s="562">
        <f>SQRT('Anexo IV - ano 16 a 25'!D48)*4</f>
        <v>916.80237863963214</v>
      </c>
      <c r="F43" s="515">
        <f t="shared" si="5"/>
        <v>66.562470962518319</v>
      </c>
      <c r="G43" s="495">
        <f>'Anexo V - ano 1 a 10 - inicial'!E43</f>
        <v>268.75</v>
      </c>
      <c r="H43" s="493">
        <f>F43*G43</f>
        <v>17888.664071176798</v>
      </c>
      <c r="I43" s="493">
        <f>H43*0.1</f>
        <v>1788.86640711768</v>
      </c>
      <c r="J43" s="7"/>
      <c r="K43" s="7"/>
      <c r="L43" s="7"/>
    </row>
    <row r="44" spans="2:12" ht="12.75" customHeight="1" x14ac:dyDescent="0.35">
      <c r="B44" s="551"/>
      <c r="C44" s="42" t="str">
        <f>'Anexo V - ano 1 a 10 - inicial'!C44</f>
        <v>Outras despesas com obras (diversos, estimados em 20%)</v>
      </c>
      <c r="D44" s="562">
        <f>'Anexo V - ano 11 a 15'!E44</f>
        <v>0</v>
      </c>
      <c r="E44" s="562">
        <v>1</v>
      </c>
      <c r="F44" s="562"/>
      <c r="G44" s="491"/>
      <c r="H44" s="493">
        <f>SUM(H37:H43)*I51</f>
        <v>1168066.4233300879</v>
      </c>
      <c r="I44" s="493">
        <f>H44*0.1</f>
        <v>116806.6423330088</v>
      </c>
      <c r="J44" s="7"/>
      <c r="K44" s="7"/>
      <c r="L44" s="7"/>
    </row>
    <row r="45" spans="2:12" ht="12.75" customHeight="1" x14ac:dyDescent="0.35">
      <c r="B45" s="551"/>
      <c r="C45" s="42" t="str">
        <f>'Anexo V - ano 1 a 10 - inicial'!C45</f>
        <v>Projeto conceitual, básico, executivo e licenças (estimado em 6% do valor da obra)</v>
      </c>
      <c r="D45" s="562">
        <f>'Anexo V - ano 11 a 15'!E45</f>
        <v>0</v>
      </c>
      <c r="E45" s="562">
        <v>1</v>
      </c>
      <c r="F45" s="562"/>
      <c r="G45" s="491"/>
      <c r="H45" s="493">
        <f>SUM(H37:H44)*0.06</f>
        <v>420503.91239883169</v>
      </c>
      <c r="I45" s="493">
        <f>H45*0.1</f>
        <v>42050.391239883174</v>
      </c>
      <c r="J45" s="7"/>
      <c r="K45" s="7"/>
      <c r="L45" s="7"/>
    </row>
    <row r="46" spans="2:12" ht="12.75" customHeight="1" x14ac:dyDescent="0.35">
      <c r="B46" s="551"/>
      <c r="C46" s="605" t="s">
        <v>265</v>
      </c>
      <c r="D46" s="606"/>
      <c r="E46" s="606"/>
      <c r="F46" s="607"/>
      <c r="G46" s="608"/>
      <c r="H46" s="498">
        <f>SUM(H37:H45)</f>
        <v>7428902.4523793599</v>
      </c>
      <c r="I46" s="498">
        <f>SUM(I37:I45)</f>
        <v>742890.24523793603</v>
      </c>
      <c r="J46" s="7"/>
      <c r="K46" s="7"/>
      <c r="L46" s="7"/>
    </row>
    <row r="47" spans="2:12" ht="15.75" customHeight="1" x14ac:dyDescent="0.35">
      <c r="B47" s="551"/>
      <c r="C47" s="570" t="str">
        <f>'Anexo V - ano 1 a 10 - inicial'!C47</f>
        <v>https://www.sinduscon-rio.com.br</v>
      </c>
      <c r="D47" s="609"/>
      <c r="E47" s="609"/>
      <c r="F47" s="610"/>
      <c r="G47" s="611"/>
      <c r="H47" s="611"/>
      <c r="I47" s="1057" t="s">
        <v>568</v>
      </c>
      <c r="J47" s="503"/>
      <c r="K47" s="7"/>
      <c r="L47" s="7"/>
    </row>
    <row r="48" spans="2:12" ht="12.75" customHeight="1" x14ac:dyDescent="0.35">
      <c r="B48" s="551"/>
      <c r="C48" s="504" t="s">
        <v>484</v>
      </c>
      <c r="D48" s="573">
        <f>'Anexo V - ano 1 a 10 - inicial'!D48</f>
        <v>1272.49</v>
      </c>
      <c r="E48" s="573">
        <f>D48</f>
        <v>1272.49</v>
      </c>
      <c r="F48" s="574">
        <f>E48</f>
        <v>1272.49</v>
      </c>
      <c r="G48" s="611"/>
      <c r="H48" s="611"/>
      <c r="I48" s="1057"/>
      <c r="J48" s="503"/>
      <c r="K48" s="7"/>
      <c r="L48" s="7"/>
    </row>
    <row r="49" spans="2:12" ht="21.75" customHeight="1" x14ac:dyDescent="0.35">
      <c r="B49" s="551"/>
      <c r="C49" s="505" t="s">
        <v>485</v>
      </c>
      <c r="D49" s="575">
        <f>'Anexo V - ano 1 a 10 - inicial'!D49</f>
        <v>2859.63</v>
      </c>
      <c r="E49" s="575">
        <f>D49</f>
        <v>2859.63</v>
      </c>
      <c r="F49" s="576">
        <f>E49</f>
        <v>2859.63</v>
      </c>
      <c r="G49" s="611"/>
      <c r="H49" s="611"/>
      <c r="I49" s="1057"/>
      <c r="J49" s="503"/>
      <c r="K49" s="7"/>
      <c r="L49" s="7"/>
    </row>
    <row r="50" spans="2:12" ht="12.75" customHeight="1" x14ac:dyDescent="0.35">
      <c r="B50" s="551"/>
      <c r="C50" s="506"/>
      <c r="D50" s="579"/>
      <c r="E50" s="579"/>
      <c r="F50" s="579"/>
      <c r="G50" s="503"/>
      <c r="H50" s="503"/>
      <c r="I50" s="612"/>
      <c r="J50" s="503"/>
      <c r="K50" s="7"/>
      <c r="L50" s="7"/>
    </row>
    <row r="51" spans="2:12" ht="12.75" customHeight="1" x14ac:dyDescent="0.35">
      <c r="B51" s="551"/>
      <c r="C51" s="506"/>
      <c r="D51" s="579"/>
      <c r="E51" s="579"/>
      <c r="F51" s="579"/>
      <c r="G51" s="503"/>
      <c r="H51" s="601" t="s">
        <v>486</v>
      </c>
      <c r="I51" s="508">
        <v>0.2</v>
      </c>
      <c r="J51" s="7"/>
      <c r="K51" s="7"/>
      <c r="L51" s="7"/>
    </row>
    <row r="52" spans="2:12" ht="12.75" customHeight="1" x14ac:dyDescent="0.35">
      <c r="B52" s="551"/>
      <c r="C52" s="506"/>
      <c r="D52" s="579"/>
      <c r="E52" s="579"/>
      <c r="F52" s="579"/>
      <c r="G52" s="503"/>
      <c r="H52" s="503"/>
      <c r="I52" s="612"/>
      <c r="J52" s="503"/>
      <c r="K52" s="7"/>
      <c r="L52" s="7"/>
    </row>
    <row r="53" spans="2:12" ht="12.75" customHeight="1" x14ac:dyDescent="0.35">
      <c r="B53" s="551"/>
      <c r="C53" s="7"/>
      <c r="D53" s="7"/>
      <c r="E53" s="7"/>
      <c r="F53" s="7"/>
      <c r="G53" s="7"/>
      <c r="H53" s="7"/>
      <c r="I53" s="7"/>
      <c r="J53" s="7"/>
      <c r="K53" s="7"/>
      <c r="L53" s="7"/>
    </row>
    <row r="54" spans="2:12" ht="16.5" customHeight="1" x14ac:dyDescent="0.35">
      <c r="B54" s="550">
        <v>3</v>
      </c>
      <c r="C54" s="1032" t="s">
        <v>489</v>
      </c>
      <c r="D54" s="1032"/>
      <c r="E54" s="1032"/>
      <c r="F54" s="1032"/>
      <c r="G54" s="1032"/>
      <c r="H54" s="1032"/>
      <c r="I54" s="1032"/>
      <c r="J54" s="7"/>
      <c r="K54" s="7"/>
      <c r="L54" s="7"/>
    </row>
    <row r="55" spans="2:12" ht="28.75" customHeight="1" x14ac:dyDescent="0.35">
      <c r="B55" s="551"/>
      <c r="C55" s="470" t="s">
        <v>449</v>
      </c>
      <c r="D55" s="472" t="s">
        <v>550</v>
      </c>
      <c r="E55" s="472" t="s">
        <v>565</v>
      </c>
      <c r="F55" s="472" t="s">
        <v>551</v>
      </c>
      <c r="G55" s="472" t="s">
        <v>528</v>
      </c>
      <c r="H55" s="472" t="s">
        <v>473</v>
      </c>
      <c r="I55" s="472" t="s">
        <v>566</v>
      </c>
      <c r="J55" s="7"/>
      <c r="K55" s="7"/>
      <c r="L55" s="7">
        <v>10</v>
      </c>
    </row>
    <row r="56" spans="2:12" ht="12.75" customHeight="1" x14ac:dyDescent="0.35">
      <c r="B56" s="551"/>
      <c r="C56" s="42" t="str">
        <f>'Anexo V - ano 1 a 10 - inicial'!C56</f>
        <v>Armário de Madeira</v>
      </c>
      <c r="D56" s="473">
        <f>'Anexo V - ano 11 a 15'!E56</f>
        <v>4</v>
      </c>
      <c r="E56" s="473">
        <f>D56</f>
        <v>4</v>
      </c>
      <c r="F56" s="473">
        <v>0</v>
      </c>
      <c r="G56" s="478">
        <f>'Anexo V - ano 1 a 10 - inicial'!F56</f>
        <v>1588.03855</v>
      </c>
      <c r="H56" s="512">
        <f t="shared" ref="H56:H70" si="8">F56*G56</f>
        <v>0</v>
      </c>
      <c r="I56" s="512">
        <f>H56*0.1</f>
        <v>0</v>
      </c>
      <c r="J56" s="7"/>
      <c r="K56" s="7"/>
      <c r="L56" s="7"/>
    </row>
    <row r="57" spans="2:12" ht="12.75" customHeight="1" x14ac:dyDescent="0.35">
      <c r="B57" s="551"/>
      <c r="C57" s="42" t="str">
        <f>'Anexo V - ano 1 a 10 - inicial'!C57</f>
        <v>Mesa (Estação de Trabalho)</v>
      </c>
      <c r="D57" s="473">
        <f>'Anexo V - ano 11 a 15'!E57</f>
        <v>4</v>
      </c>
      <c r="E57" s="473">
        <f>D57</f>
        <v>4</v>
      </c>
      <c r="F57" s="473">
        <v>0</v>
      </c>
      <c r="G57" s="478">
        <f>'Anexo V - ano 1 a 10 - inicial'!F57</f>
        <v>703.85966699999994</v>
      </c>
      <c r="H57" s="512">
        <f t="shared" si="8"/>
        <v>0</v>
      </c>
      <c r="I57" s="512">
        <f t="shared" ref="I57:I71" si="9">H57*0.1</f>
        <v>0</v>
      </c>
      <c r="J57" s="7"/>
      <c r="K57" s="7"/>
      <c r="L57" s="7"/>
    </row>
    <row r="58" spans="2:12" ht="12.75" customHeight="1" x14ac:dyDescent="0.35">
      <c r="B58" s="551"/>
      <c r="C58" s="42" t="str">
        <f>'Anexo V - ano 1 a 10 - inicial'!C58</f>
        <v>Mesa de Reunião</v>
      </c>
      <c r="D58" s="473">
        <f>'Anexo V - ano 11 a 15'!E58</f>
        <v>1</v>
      </c>
      <c r="E58" s="473">
        <f t="shared" ref="E58:E70" si="10">D58</f>
        <v>1</v>
      </c>
      <c r="F58" s="473">
        <v>0</v>
      </c>
      <c r="G58" s="478">
        <f>'Anexo V - ano 1 a 10 - inicial'!F58</f>
        <v>973.31394999999998</v>
      </c>
      <c r="H58" s="512">
        <f t="shared" si="8"/>
        <v>0</v>
      </c>
      <c r="I58" s="512">
        <f t="shared" si="9"/>
        <v>0</v>
      </c>
      <c r="J58" s="7"/>
      <c r="K58" s="7"/>
      <c r="L58" s="7"/>
    </row>
    <row r="59" spans="2:12" ht="12.75" customHeight="1" x14ac:dyDescent="0.35">
      <c r="B59" s="551"/>
      <c r="C59" s="42" t="str">
        <f>'Anexo V - ano 1 a 10 - inicial'!C59</f>
        <v>Cadeiras Giratórias</v>
      </c>
      <c r="D59" s="473">
        <f>'Anexo V - ano 11 a 15'!E59</f>
        <v>4</v>
      </c>
      <c r="E59" s="473">
        <f>D59</f>
        <v>4</v>
      </c>
      <c r="F59" s="473">
        <v>0</v>
      </c>
      <c r="G59" s="478">
        <f>'Anexo V - ano 1 a 10 - inicial'!F59</f>
        <v>484.06488626999999</v>
      </c>
      <c r="H59" s="512">
        <f t="shared" si="8"/>
        <v>0</v>
      </c>
      <c r="I59" s="512">
        <f t="shared" si="9"/>
        <v>0</v>
      </c>
      <c r="J59" s="7"/>
      <c r="K59" s="7"/>
      <c r="L59" s="7"/>
    </row>
    <row r="60" spans="2:12" ht="12.75" customHeight="1" x14ac:dyDescent="0.35">
      <c r="B60" s="551"/>
      <c r="C60" s="42" t="str">
        <f>'Anexo V - ano 1 a 10 - inicial'!C60</f>
        <v>Poltronas</v>
      </c>
      <c r="D60" s="473">
        <f>'Anexo V - ano 11 a 15'!E60</f>
        <v>1</v>
      </c>
      <c r="E60" s="473">
        <f t="shared" si="10"/>
        <v>1</v>
      </c>
      <c r="F60" s="473">
        <v>0</v>
      </c>
      <c r="G60" s="478">
        <f>'Anexo V - ano 1 a 10 - inicial'!F60</f>
        <v>717.17869999999994</v>
      </c>
      <c r="H60" s="512">
        <f t="shared" si="8"/>
        <v>0</v>
      </c>
      <c r="I60" s="512">
        <f t="shared" si="9"/>
        <v>0</v>
      </c>
      <c r="J60" s="7"/>
      <c r="K60" s="7"/>
      <c r="L60" s="7"/>
    </row>
    <row r="61" spans="2:12" ht="12.75" customHeight="1" x14ac:dyDescent="0.35">
      <c r="B61" s="551"/>
      <c r="C61" s="42" t="str">
        <f>'Anexo V - ano 1 a 10 - inicial'!C61</f>
        <v xml:space="preserve">Estantes </v>
      </c>
      <c r="D61" s="473">
        <f>'Anexo V - ano 11 a 15'!E61</f>
        <v>4</v>
      </c>
      <c r="E61" s="473">
        <f>D61</f>
        <v>4</v>
      </c>
      <c r="F61" s="473">
        <v>0</v>
      </c>
      <c r="G61" s="478">
        <f>'Anexo V - ano 1 a 10 - inicial'!F61</f>
        <v>1923.3195922499999</v>
      </c>
      <c r="H61" s="512">
        <f t="shared" si="8"/>
        <v>0</v>
      </c>
      <c r="I61" s="512">
        <f t="shared" si="9"/>
        <v>0</v>
      </c>
      <c r="J61" s="7"/>
      <c r="K61" s="7"/>
      <c r="L61" s="7"/>
    </row>
    <row r="62" spans="2:12" ht="12.75" customHeight="1" x14ac:dyDescent="0.35">
      <c r="B62" s="551"/>
      <c r="C62" s="42" t="str">
        <f>'Anexo V - ano 1 a 10 - inicial'!C62</f>
        <v>Gaveteiros</v>
      </c>
      <c r="D62" s="473">
        <f>'Anexo V - ano 11 a 15'!E62</f>
        <v>4</v>
      </c>
      <c r="E62" s="473">
        <f>D62</f>
        <v>4</v>
      </c>
      <c r="F62" s="473">
        <v>0</v>
      </c>
      <c r="G62" s="478">
        <f>'Anexo V - ano 1 a 10 - inicial'!F62</f>
        <v>325.80403799999999</v>
      </c>
      <c r="H62" s="512">
        <f t="shared" si="8"/>
        <v>0</v>
      </c>
      <c r="I62" s="512">
        <f t="shared" si="9"/>
        <v>0</v>
      </c>
      <c r="J62" s="7"/>
      <c r="K62" s="7"/>
      <c r="L62" s="7"/>
    </row>
    <row r="63" spans="2:12" ht="12.75" customHeight="1" x14ac:dyDescent="0.35">
      <c r="B63" s="551"/>
      <c r="C63" s="42" t="str">
        <f>'Anexo V - ano 1 a 10 - inicial'!C63</f>
        <v>Fogão</v>
      </c>
      <c r="D63" s="473">
        <f>'Anexo V - ano 11 a 15'!E63</f>
        <v>1</v>
      </c>
      <c r="E63" s="473">
        <f t="shared" si="10"/>
        <v>1</v>
      </c>
      <c r="F63" s="473">
        <v>0</v>
      </c>
      <c r="G63" s="478">
        <f>'Anexo V - ano 1 a 10 - inicial'!F63</f>
        <v>1709.4876401399999</v>
      </c>
      <c r="H63" s="512">
        <f t="shared" si="8"/>
        <v>0</v>
      </c>
      <c r="I63" s="512">
        <f t="shared" si="9"/>
        <v>0</v>
      </c>
      <c r="J63" s="7"/>
      <c r="K63" s="7"/>
      <c r="L63" s="7"/>
    </row>
    <row r="64" spans="2:12" ht="12.75" customHeight="1" x14ac:dyDescent="0.35">
      <c r="B64" s="551"/>
      <c r="C64" s="42" t="str">
        <f>'Anexo V - ano 1 a 10 - inicial'!C64</f>
        <v>Forno de Microondas</v>
      </c>
      <c r="D64" s="473">
        <f>'Anexo V - ano 11 a 15'!E64</f>
        <v>1</v>
      </c>
      <c r="E64" s="473">
        <f t="shared" si="10"/>
        <v>1</v>
      </c>
      <c r="F64" s="473">
        <v>0</v>
      </c>
      <c r="G64" s="478">
        <f>'Anexo V - ano 1 a 10 - inicial'!F64</f>
        <v>699.76150299999995</v>
      </c>
      <c r="H64" s="512">
        <f t="shared" si="8"/>
        <v>0</v>
      </c>
      <c r="I64" s="512">
        <f t="shared" si="9"/>
        <v>0</v>
      </c>
      <c r="J64" s="7"/>
      <c r="K64" s="7"/>
      <c r="L64" s="7"/>
    </row>
    <row r="65" spans="2:12" ht="12.75" customHeight="1" x14ac:dyDescent="0.35">
      <c r="B65" s="551"/>
      <c r="C65" s="42" t="str">
        <f>'Anexo V - ano 1 a 10 - inicial'!C65</f>
        <v>Cafeteira</v>
      </c>
      <c r="D65" s="473">
        <f>'Anexo V - ano 11 a 15'!E65</f>
        <v>1</v>
      </c>
      <c r="E65" s="473">
        <f t="shared" si="10"/>
        <v>1</v>
      </c>
      <c r="F65" s="473">
        <v>0</v>
      </c>
      <c r="G65" s="478">
        <f>'Anexo V - ano 1 a 10 - inicial'!F65</f>
        <v>512.27049999999997</v>
      </c>
      <c r="H65" s="512">
        <f t="shared" si="8"/>
        <v>0</v>
      </c>
      <c r="I65" s="512">
        <f t="shared" si="9"/>
        <v>0</v>
      </c>
      <c r="J65" s="7"/>
      <c r="K65" s="7"/>
      <c r="L65" s="7"/>
    </row>
    <row r="66" spans="2:12" ht="15" customHeight="1" x14ac:dyDescent="0.25">
      <c r="B66" s="7"/>
      <c r="C66" s="42" t="str">
        <f>'Anexo V - ano 1 a 10 - inicial'!C66</f>
        <v>Geladeira</v>
      </c>
      <c r="D66" s="473">
        <f>'Anexo V - ano 11 a 15'!E66</f>
        <v>1</v>
      </c>
      <c r="E66" s="473">
        <f t="shared" si="10"/>
        <v>1</v>
      </c>
      <c r="F66" s="473">
        <v>0</v>
      </c>
      <c r="G66" s="478">
        <f>'Anexo V - ano 1 a 10 - inicial'!F66</f>
        <v>5005.3848100899995</v>
      </c>
      <c r="H66" s="512">
        <f t="shared" si="8"/>
        <v>0</v>
      </c>
      <c r="I66" s="512">
        <f t="shared" si="9"/>
        <v>0</v>
      </c>
      <c r="J66" s="7"/>
      <c r="K66" s="7"/>
      <c r="L66" s="7"/>
    </row>
    <row r="67" spans="2:12" ht="12.75" customHeight="1" x14ac:dyDescent="0.35">
      <c r="B67" s="551"/>
      <c r="C67" s="42" t="str">
        <f>'Anexo V - ano 1 a 10 - inicial'!C67</f>
        <v>Bebedouro de água (01 para cada 10 funcionários)</v>
      </c>
      <c r="D67" s="473">
        <f>'Anexo V - ano 11 a 15'!E67</f>
        <v>1</v>
      </c>
      <c r="E67" s="473">
        <f t="shared" si="10"/>
        <v>1</v>
      </c>
      <c r="F67" s="473">
        <v>0</v>
      </c>
      <c r="G67" s="478">
        <f>'Anexo V - ano 1 a 10 - inicial'!F67</f>
        <v>922.0868999999999</v>
      </c>
      <c r="H67" s="512">
        <f t="shared" si="8"/>
        <v>0</v>
      </c>
      <c r="I67" s="512">
        <f t="shared" si="9"/>
        <v>0</v>
      </c>
      <c r="J67" s="7"/>
      <c r="K67" s="7"/>
      <c r="L67" s="7"/>
    </row>
    <row r="68" spans="2:12" ht="12.75" customHeight="1" x14ac:dyDescent="0.35">
      <c r="B68" s="551"/>
      <c r="C68" s="42" t="str">
        <f>'Anexo V - ano 1 a 10 - inicial'!C68</f>
        <v>BTUs instalado (Condicionadores de ar) (foi considerado necessário 1.000 BTU por metro quadrado)</v>
      </c>
      <c r="D68" s="473">
        <f>'Anexo V - ano 11 a 15'!E68</f>
        <v>60</v>
      </c>
      <c r="E68" s="473">
        <f t="shared" si="10"/>
        <v>60</v>
      </c>
      <c r="F68" s="473">
        <v>0</v>
      </c>
      <c r="G68" s="478">
        <f>'Anexo V - ano 1 a 10 - inicial'!F68</f>
        <v>332.97582499999999</v>
      </c>
      <c r="H68" s="512">
        <f t="shared" si="8"/>
        <v>0</v>
      </c>
      <c r="I68" s="512">
        <f t="shared" si="9"/>
        <v>0</v>
      </c>
      <c r="J68" s="7"/>
      <c r="K68" s="7"/>
      <c r="L68" s="7"/>
    </row>
    <row r="69" spans="2:12" ht="12.75" customHeight="1" x14ac:dyDescent="0.35">
      <c r="B69" s="551"/>
      <c r="C69" s="42" t="str">
        <f>'Anexo V - ano 1 a 10 - inicial'!C69</f>
        <v>Aparelho Telefônico</v>
      </c>
      <c r="D69" s="473">
        <f>'Anexo V - ano 11 a 15'!E69</f>
        <v>4</v>
      </c>
      <c r="E69" s="473">
        <f>D69</f>
        <v>4</v>
      </c>
      <c r="F69" s="473">
        <v>0</v>
      </c>
      <c r="G69" s="478">
        <f>'Anexo V - ano 1 a 10 - inicial'!F69</f>
        <v>327.85311999999999</v>
      </c>
      <c r="H69" s="512">
        <f t="shared" si="8"/>
        <v>0</v>
      </c>
      <c r="I69" s="512">
        <f t="shared" si="9"/>
        <v>0</v>
      </c>
      <c r="J69" s="7"/>
      <c r="K69" s="7"/>
      <c r="L69" s="7"/>
    </row>
    <row r="70" spans="2:12" ht="12.75" customHeight="1" x14ac:dyDescent="0.35">
      <c r="B70" s="551"/>
      <c r="C70" s="42" t="str">
        <f>'Anexo V - ano 1 a 10 - inicial'!C70</f>
        <v>Copiadora Multifuncional</v>
      </c>
      <c r="D70" s="473">
        <f>'Anexo V - ano 11 a 15'!E70</f>
        <v>1</v>
      </c>
      <c r="E70" s="473">
        <f t="shared" si="10"/>
        <v>1</v>
      </c>
      <c r="F70" s="473">
        <v>0</v>
      </c>
      <c r="G70" s="478">
        <f>'Anexo V - ano 1 a 10 - inicial'!F70</f>
        <v>3421.9669399999998</v>
      </c>
      <c r="H70" s="512">
        <f t="shared" si="8"/>
        <v>0</v>
      </c>
      <c r="I70" s="512">
        <f t="shared" si="9"/>
        <v>0</v>
      </c>
      <c r="J70" s="7"/>
      <c r="K70" s="7"/>
      <c r="L70" s="7"/>
    </row>
    <row r="71" spans="2:12" ht="12.75" customHeight="1" x14ac:dyDescent="0.35">
      <c r="B71" s="551"/>
      <c r="C71" s="42" t="str">
        <f>'Anexo V - ano 1 a 10 - inicial'!C71</f>
        <v>Outros (diversos 15% total)</v>
      </c>
      <c r="D71" s="27"/>
      <c r="E71" s="27"/>
      <c r="F71" s="27"/>
      <c r="G71" s="478"/>
      <c r="H71" s="512">
        <f>SUM(H56:H70)*I75</f>
        <v>0</v>
      </c>
      <c r="I71" s="512">
        <f t="shared" si="9"/>
        <v>0</v>
      </c>
      <c r="J71" s="7"/>
      <c r="K71" s="7"/>
      <c r="L71" s="7"/>
    </row>
    <row r="72" spans="2:12" ht="12.75" customHeight="1" thickBot="1" x14ac:dyDescent="0.4">
      <c r="B72" s="551"/>
      <c r="C72" s="42">
        <f>'Anexo V - ano 1 a 10 - inicial'!C72</f>
        <v>0</v>
      </c>
      <c r="D72" s="613"/>
      <c r="E72" s="613"/>
      <c r="F72" s="613"/>
      <c r="G72" s="481"/>
      <c r="H72" s="517"/>
      <c r="I72" s="517">
        <f t="shared" ref="I72" si="11">H72*10/100</f>
        <v>0</v>
      </c>
      <c r="J72" s="7"/>
      <c r="K72" s="7"/>
      <c r="L72" s="7"/>
    </row>
    <row r="73" spans="2:12" ht="12.75" customHeight="1" x14ac:dyDescent="0.35">
      <c r="B73" s="551"/>
      <c r="C73" s="483" t="s">
        <v>265</v>
      </c>
      <c r="D73" s="547"/>
      <c r="E73" s="547"/>
      <c r="F73" s="1029"/>
      <c r="G73" s="1029"/>
      <c r="H73" s="484">
        <f>SUM(H56:H72)</f>
        <v>0</v>
      </c>
      <c r="I73" s="484">
        <f>H73*0.1</f>
        <v>0</v>
      </c>
      <c r="J73" s="7"/>
      <c r="K73" s="7"/>
      <c r="L73" s="7"/>
    </row>
    <row r="74" spans="2:12" ht="12.75" customHeight="1" x14ac:dyDescent="0.35">
      <c r="B74" s="551"/>
      <c r="C74" s="7"/>
      <c r="D74" s="7"/>
      <c r="E74" s="7"/>
      <c r="F74" s="7"/>
      <c r="G74" s="7"/>
      <c r="H74" s="309"/>
      <c r="I74" s="309"/>
      <c r="J74" s="7"/>
      <c r="K74" s="7"/>
      <c r="L74" s="7"/>
    </row>
    <row r="75" spans="2:12" ht="12.75" customHeight="1" x14ac:dyDescent="0.35">
      <c r="B75" s="551"/>
      <c r="C75" s="7"/>
      <c r="D75" s="7"/>
      <c r="E75" s="7"/>
      <c r="F75" s="7"/>
      <c r="G75" s="7"/>
      <c r="H75" s="601" t="s">
        <v>514</v>
      </c>
      <c r="I75" s="486">
        <v>0.15</v>
      </c>
      <c r="J75" s="7"/>
      <c r="K75" s="7"/>
      <c r="L75" s="7"/>
    </row>
    <row r="76" spans="2:12" ht="12.75" customHeight="1" x14ac:dyDescent="0.35">
      <c r="B76" s="551"/>
      <c r="C76" s="7"/>
      <c r="D76" s="7"/>
      <c r="E76" s="7"/>
      <c r="F76" s="7"/>
      <c r="G76" s="7"/>
      <c r="H76" s="309"/>
      <c r="I76" s="309"/>
      <c r="J76" s="7"/>
      <c r="K76" s="7"/>
      <c r="L76" s="7"/>
    </row>
    <row r="77" spans="2:12" ht="12.75" customHeight="1" x14ac:dyDescent="0.35">
      <c r="B77" s="551"/>
      <c r="C77" s="7"/>
      <c r="D77" s="7"/>
      <c r="E77" s="7"/>
      <c r="F77" s="7"/>
      <c r="G77" s="7"/>
      <c r="H77" s="7"/>
      <c r="I77" s="7"/>
      <c r="J77" s="7"/>
      <c r="K77" s="7"/>
      <c r="L77" s="7"/>
    </row>
    <row r="78" spans="2:12" ht="12.75" customHeight="1" x14ac:dyDescent="0.35">
      <c r="B78" s="550">
        <v>4</v>
      </c>
      <c r="C78" s="1035" t="s">
        <v>507</v>
      </c>
      <c r="D78" s="1035"/>
      <c r="E78" s="1035"/>
      <c r="F78" s="1035"/>
      <c r="G78" s="1035"/>
      <c r="H78" s="1035"/>
      <c r="I78" s="1035"/>
      <c r="J78" s="7"/>
      <c r="K78" s="7"/>
      <c r="L78" s="7"/>
    </row>
    <row r="79" spans="2:12" ht="28.75" customHeight="1" x14ac:dyDescent="0.35">
      <c r="B79" s="551"/>
      <c r="C79" s="470" t="s">
        <v>449</v>
      </c>
      <c r="D79" s="472" t="s">
        <v>550</v>
      </c>
      <c r="E79" s="472" t="s">
        <v>565</v>
      </c>
      <c r="F79" s="472" t="s">
        <v>551</v>
      </c>
      <c r="G79" s="472" t="s">
        <v>528</v>
      </c>
      <c r="H79" s="472" t="s">
        <v>473</v>
      </c>
      <c r="I79" s="472" t="s">
        <v>566</v>
      </c>
      <c r="J79" s="353"/>
      <c r="K79" s="7"/>
      <c r="L79" s="7">
        <v>10</v>
      </c>
    </row>
    <row r="80" spans="2:12" ht="12.75" customHeight="1" x14ac:dyDescent="0.35">
      <c r="B80" s="551"/>
      <c r="C80" s="42" t="str">
        <f>'Anexo V - ano 1 a 10 - inicial'!C80</f>
        <v>Armário de Madeira</v>
      </c>
      <c r="D80" s="473">
        <f>'Anexo V - ano 11 a 15'!E80</f>
        <v>15</v>
      </c>
      <c r="E80" s="473">
        <v>25</v>
      </c>
      <c r="F80" s="518">
        <v>5</v>
      </c>
      <c r="G80" s="478">
        <f>'Anexo V - ano 1 a 10 - inicial'!F80</f>
        <v>1588.03855</v>
      </c>
      <c r="H80" s="512">
        <f>F80*G80</f>
        <v>7940.1927500000002</v>
      </c>
      <c r="I80" s="589">
        <f>H80*10/100</f>
        <v>794.01927500000011</v>
      </c>
      <c r="J80" s="590"/>
      <c r="K80" s="7"/>
      <c r="L80" s="7"/>
    </row>
    <row r="81" spans="2:9" ht="12.75" customHeight="1" x14ac:dyDescent="0.35">
      <c r="B81" s="551"/>
      <c r="C81" s="42" t="str">
        <f>'Anexo V - ano 1 a 10 - inicial'!C81</f>
        <v>Armário de Aço</v>
      </c>
      <c r="D81" s="473">
        <f>'Anexo V - ano 11 a 15'!E81</f>
        <v>8</v>
      </c>
      <c r="E81" s="473">
        <v>14</v>
      </c>
      <c r="F81" s="518">
        <f>E81-D81</f>
        <v>6</v>
      </c>
      <c r="G81" s="478">
        <f>'Anexo V - ano 1 a 10 - inicial'!F81</f>
        <v>957.04423891999988</v>
      </c>
      <c r="H81" s="512">
        <f>F81*G81</f>
        <v>5742.2654335199995</v>
      </c>
      <c r="I81" s="589">
        <f>H81*10/100</f>
        <v>574.22654335199991</v>
      </c>
    </row>
    <row r="82" spans="2:9" ht="12.75" customHeight="1" x14ac:dyDescent="0.35">
      <c r="B82" s="551"/>
      <c r="C82" s="42" t="str">
        <f>'Anexo V - ano 1 a 10 - inicial'!C82</f>
        <v>Mesa (Estação de Trabalho)</v>
      </c>
      <c r="D82" s="473">
        <f>'Anexo V - ano 11 a 15'!E82</f>
        <v>20</v>
      </c>
      <c r="E82" s="473">
        <v>30</v>
      </c>
      <c r="F82" s="518">
        <f t="shared" ref="F82:F98" si="12">E82-D82</f>
        <v>10</v>
      </c>
      <c r="G82" s="478">
        <f>'Anexo V - ano 1 a 10 - inicial'!F82</f>
        <v>704.7510176699999</v>
      </c>
      <c r="H82" s="512">
        <f>F82*G82</f>
        <v>7047.5101766999987</v>
      </c>
      <c r="I82" s="589">
        <f>H82*10/100</f>
        <v>704.7510176699999</v>
      </c>
    </row>
    <row r="83" spans="2:9" ht="12.75" customHeight="1" x14ac:dyDescent="0.35">
      <c r="B83" s="551"/>
      <c r="C83" s="42" t="str">
        <f>'Anexo V - ano 1 a 10 - inicial'!C83</f>
        <v>Mesa de Reunião</v>
      </c>
      <c r="D83" s="473">
        <f>'Anexo V - ano 11 a 15'!E83</f>
        <v>2</v>
      </c>
      <c r="E83" s="473">
        <f t="shared" ref="E83:E95" si="13">D83</f>
        <v>2</v>
      </c>
      <c r="F83" s="518">
        <f t="shared" si="12"/>
        <v>0</v>
      </c>
      <c r="G83" s="478">
        <f>'Anexo V - ano 1 a 10 - inicial'!F83</f>
        <v>973.31394999999998</v>
      </c>
      <c r="H83" s="512">
        <f t="shared" ref="H83:H89" si="14">F83*G83</f>
        <v>0</v>
      </c>
      <c r="I83" s="589">
        <f t="shared" ref="I83:I95" si="15">H83*10/100</f>
        <v>0</v>
      </c>
    </row>
    <row r="84" spans="2:9" ht="12.75" customHeight="1" x14ac:dyDescent="0.35">
      <c r="B84" s="551"/>
      <c r="C84" s="42" t="str">
        <f>'Anexo V - ano 1 a 10 - inicial'!C84</f>
        <v>Cadeiras Giratórias</v>
      </c>
      <c r="D84" s="473">
        <f>'Anexo V - ano 11 a 15'!E84</f>
        <v>26</v>
      </c>
      <c r="E84" s="473">
        <v>30</v>
      </c>
      <c r="F84" s="518">
        <f t="shared" si="12"/>
        <v>4</v>
      </c>
      <c r="G84" s="478">
        <f>'Anexo V - ano 1 a 10 - inicial'!F84</f>
        <v>484.06488626999999</v>
      </c>
      <c r="H84" s="512">
        <f>F84*G84</f>
        <v>1936.25954508</v>
      </c>
      <c r="I84" s="589">
        <f>H84*10/100</f>
        <v>193.62595450800001</v>
      </c>
    </row>
    <row r="85" spans="2:9" ht="12.75" customHeight="1" x14ac:dyDescent="0.35">
      <c r="B85" s="551"/>
      <c r="C85" s="42" t="str">
        <f>'Anexo V - ano 1 a 10 - inicial'!C85</f>
        <v>Cadeiras</v>
      </c>
      <c r="D85" s="473">
        <f>'Anexo V - ano 11 a 15'!E85</f>
        <v>10</v>
      </c>
      <c r="E85" s="473">
        <v>15</v>
      </c>
      <c r="F85" s="518">
        <f t="shared" si="12"/>
        <v>5</v>
      </c>
      <c r="G85" s="478">
        <f>'Anexo V - ano 1 a 10 - inicial'!F85</f>
        <v>440.55262999999997</v>
      </c>
      <c r="H85" s="512">
        <f>F85*G85</f>
        <v>2202.7631499999998</v>
      </c>
      <c r="I85" s="589">
        <f>H85*10/100</f>
        <v>220.27631499999995</v>
      </c>
    </row>
    <row r="86" spans="2:9" ht="12.75" customHeight="1" x14ac:dyDescent="0.35">
      <c r="B86" s="551"/>
      <c r="C86" s="42" t="str">
        <f>'Anexo V - ano 1 a 10 - inicial'!C86</f>
        <v>Poltronas</v>
      </c>
      <c r="D86" s="473">
        <f>'Anexo V - ano 11 a 15'!E86</f>
        <v>0</v>
      </c>
      <c r="E86" s="473">
        <f t="shared" si="13"/>
        <v>0</v>
      </c>
      <c r="F86" s="518">
        <f t="shared" si="12"/>
        <v>0</v>
      </c>
      <c r="G86" s="478">
        <f>'Anexo V - ano 1 a 10 - inicial'!F86</f>
        <v>0</v>
      </c>
      <c r="H86" s="512">
        <f t="shared" si="14"/>
        <v>0</v>
      </c>
      <c r="I86" s="589">
        <f t="shared" si="15"/>
        <v>0</v>
      </c>
    </row>
    <row r="87" spans="2:9" ht="12.75" customHeight="1" x14ac:dyDescent="0.35">
      <c r="B87" s="551"/>
      <c r="C87" s="42" t="str">
        <f>'Anexo V - ano 1 a 10 - inicial'!C87</f>
        <v xml:space="preserve">Estantes </v>
      </c>
      <c r="D87" s="473">
        <f>'Anexo V - ano 11 a 15'!E87</f>
        <v>16</v>
      </c>
      <c r="E87" s="473">
        <v>20</v>
      </c>
      <c r="F87" s="518">
        <f t="shared" si="12"/>
        <v>4</v>
      </c>
      <c r="G87" s="478">
        <f>'Anexo V - ano 1 a 10 - inicial'!F87</f>
        <v>1923.3195922499999</v>
      </c>
      <c r="H87" s="512">
        <f>F87*G87</f>
        <v>7693.2783689999997</v>
      </c>
      <c r="I87" s="589">
        <f>H87*10/100</f>
        <v>769.32783689999997</v>
      </c>
    </row>
    <row r="88" spans="2:9" ht="12.75" customHeight="1" x14ac:dyDescent="0.35">
      <c r="B88" s="551"/>
      <c r="C88" s="42" t="str">
        <f>'Anexo V - ano 1 a 10 - inicial'!C88</f>
        <v>Gaveteiros</v>
      </c>
      <c r="D88" s="473">
        <f>'Anexo V - ano 11 a 15'!E88</f>
        <v>15</v>
      </c>
      <c r="E88" s="473">
        <v>20</v>
      </c>
      <c r="F88" s="518">
        <f t="shared" si="12"/>
        <v>5</v>
      </c>
      <c r="G88" s="478">
        <f>'Anexo V - ano 1 a 10 - inicial'!F88</f>
        <v>325.80403799999999</v>
      </c>
      <c r="H88" s="512">
        <f>F88*G88</f>
        <v>1629.02019</v>
      </c>
      <c r="I88" s="589">
        <f>H88*10/100</f>
        <v>162.902019</v>
      </c>
    </row>
    <row r="89" spans="2:9" ht="12.75" customHeight="1" x14ac:dyDescent="0.35">
      <c r="B89" s="551"/>
      <c r="C89" s="42" t="str">
        <f>'Anexo V - ano 1 a 10 - inicial'!C89</f>
        <v>Fogão Industrial</v>
      </c>
      <c r="D89" s="473">
        <f>'Anexo V - ano 11 a 15'!E89</f>
        <v>2</v>
      </c>
      <c r="E89" s="473">
        <f t="shared" si="13"/>
        <v>2</v>
      </c>
      <c r="F89" s="518">
        <f t="shared" si="12"/>
        <v>0</v>
      </c>
      <c r="G89" s="478">
        <f>'Anexo V - ano 1 a 10 - inicial'!F89</f>
        <v>1709.4876401399999</v>
      </c>
      <c r="H89" s="512">
        <f t="shared" si="14"/>
        <v>0</v>
      </c>
      <c r="I89" s="589">
        <f t="shared" si="15"/>
        <v>0</v>
      </c>
    </row>
    <row r="90" spans="2:9" ht="12.75" customHeight="1" x14ac:dyDescent="0.35">
      <c r="B90" s="551"/>
      <c r="C90" s="42" t="s">
        <v>511</v>
      </c>
      <c r="D90" s="473">
        <v>1</v>
      </c>
      <c r="E90" s="473">
        <v>1</v>
      </c>
      <c r="F90" s="473">
        <f t="shared" si="12"/>
        <v>0</v>
      </c>
      <c r="G90" s="478">
        <f>'Anexo V - ano 1 a 10 - inicial'!F90</f>
        <v>5005.3848100899995</v>
      </c>
      <c r="H90" s="512">
        <f t="shared" ref="H90" si="16">G90*10/100</f>
        <v>500.53848100899995</v>
      </c>
      <c r="I90" s="589">
        <f t="shared" si="15"/>
        <v>50.053848100899998</v>
      </c>
    </row>
    <row r="91" spans="2:9" ht="12.75" customHeight="1" x14ac:dyDescent="0.35">
      <c r="B91" s="551"/>
      <c r="C91" s="42" t="str">
        <f>'Anexo V - ano 1 a 10 - inicial'!C91</f>
        <v>Forno de Microondas</v>
      </c>
      <c r="D91" s="473">
        <f>'Anexo V - ano 11 a 15'!E91</f>
        <v>1</v>
      </c>
      <c r="E91" s="473">
        <f t="shared" si="13"/>
        <v>1</v>
      </c>
      <c r="F91" s="518">
        <f t="shared" si="12"/>
        <v>0</v>
      </c>
      <c r="G91" s="478">
        <f>'Anexo V - ano 1 a 10 - inicial'!F91</f>
        <v>699.76150299999995</v>
      </c>
      <c r="H91" s="512">
        <f>G91*F91</f>
        <v>0</v>
      </c>
      <c r="I91" s="589">
        <f t="shared" si="15"/>
        <v>0</v>
      </c>
    </row>
    <row r="92" spans="2:9" ht="12.75" customHeight="1" x14ac:dyDescent="0.35">
      <c r="B92" s="551"/>
      <c r="C92" s="42" t="str">
        <f>'Anexo V - ano 1 a 10 - inicial'!C92</f>
        <v>Cafeteira</v>
      </c>
      <c r="D92" s="473">
        <f>'Anexo V - ano 11 a 15'!E92</f>
        <v>2</v>
      </c>
      <c r="E92" s="473">
        <f t="shared" si="13"/>
        <v>2</v>
      </c>
      <c r="F92" s="518">
        <f t="shared" si="12"/>
        <v>0</v>
      </c>
      <c r="G92" s="478">
        <f>'Anexo V - ano 1 a 10 - inicial'!F92</f>
        <v>512.27049999999997</v>
      </c>
      <c r="H92" s="512">
        <f>G92*F92</f>
        <v>0</v>
      </c>
      <c r="I92" s="589">
        <f t="shared" si="15"/>
        <v>0</v>
      </c>
    </row>
    <row r="93" spans="2:9" ht="12.75" customHeight="1" x14ac:dyDescent="0.35">
      <c r="B93" s="551"/>
      <c r="C93" s="42" t="str">
        <f>'Anexo V - ano 1 a 10 - inicial'!C93</f>
        <v>Bebedouro de água (01 para cada 10 funcionários)</v>
      </c>
      <c r="D93" s="473">
        <f>'Anexo V - ano 11 a 15'!E93</f>
        <v>4</v>
      </c>
      <c r="E93" s="473">
        <f t="shared" si="13"/>
        <v>4</v>
      </c>
      <c r="F93" s="518">
        <f t="shared" si="12"/>
        <v>0</v>
      </c>
      <c r="G93" s="478">
        <f>'Anexo V - ano 1 a 10 - inicial'!F93</f>
        <v>922.0868999999999</v>
      </c>
      <c r="H93" s="512">
        <f>G93*F93</f>
        <v>0</v>
      </c>
      <c r="I93" s="589">
        <f t="shared" si="15"/>
        <v>0</v>
      </c>
    </row>
    <row r="94" spans="2:9" ht="12.75" customHeight="1" x14ac:dyDescent="0.35">
      <c r="B94" s="551"/>
      <c r="C94" s="42" t="str">
        <f>'Anexo V - ano 1 a 10 - inicial'!C94</f>
        <v>Geladeira</v>
      </c>
      <c r="D94" s="473">
        <f>'Anexo V - ano 11 a 15'!E94</f>
        <v>2</v>
      </c>
      <c r="E94" s="473">
        <f t="shared" si="13"/>
        <v>2</v>
      </c>
      <c r="F94" s="518">
        <f t="shared" si="12"/>
        <v>0</v>
      </c>
      <c r="G94" s="478">
        <f>'Anexo V - ano 1 a 10 - inicial'!F94</f>
        <v>5005.3848100899995</v>
      </c>
      <c r="H94" s="512">
        <f>G94*F94</f>
        <v>0</v>
      </c>
      <c r="I94" s="589">
        <f t="shared" si="15"/>
        <v>0</v>
      </c>
    </row>
    <row r="95" spans="2:9" ht="12.75" customHeight="1" x14ac:dyDescent="0.35">
      <c r="B95" s="551"/>
      <c r="C95" s="42" t="str">
        <f>'Anexo V - ano 1 a 10 - inicial'!C95</f>
        <v>Frigobar</v>
      </c>
      <c r="D95" s="473">
        <f>'Anexo V - ano 11 a 15'!E95</f>
        <v>6</v>
      </c>
      <c r="E95" s="473">
        <f t="shared" si="13"/>
        <v>6</v>
      </c>
      <c r="F95" s="518">
        <f t="shared" si="12"/>
        <v>0</v>
      </c>
      <c r="G95" s="478">
        <f>'Anexo V - ano 1 a 10 - inicial'!F95</f>
        <v>1225.9145335499998</v>
      </c>
      <c r="H95" s="512">
        <f>F95*G95</f>
        <v>0</v>
      </c>
      <c r="I95" s="589">
        <f t="shared" si="15"/>
        <v>0</v>
      </c>
    </row>
    <row r="96" spans="2:9" ht="12.75" customHeight="1" x14ac:dyDescent="0.35">
      <c r="B96" s="551"/>
      <c r="C96" s="42" t="str">
        <f>'Anexo V - ano 1 a 10 - inicial'!C96</f>
        <v>BTUs instalado (Condicionadores de ar) (x1.000)</v>
      </c>
      <c r="D96" s="518">
        <f>'Anexo V - ano 11 a 15'!E96</f>
        <v>2405</v>
      </c>
      <c r="E96" s="518">
        <f>'Anexo IV - ano 16 a 25'!D45</f>
        <v>2425</v>
      </c>
      <c r="F96" s="518">
        <f t="shared" si="12"/>
        <v>20</v>
      </c>
      <c r="G96" s="478">
        <f>'Anexo V - ano 1 a 10 - inicial'!F96</f>
        <v>341.14738472132495</v>
      </c>
      <c r="H96" s="512">
        <f>F96*G96</f>
        <v>6822.9476944264989</v>
      </c>
      <c r="I96" s="589">
        <f>H96*10/100</f>
        <v>682.29476944264979</v>
      </c>
    </row>
    <row r="97" spans="2:12" ht="12.75" customHeight="1" x14ac:dyDescent="0.35">
      <c r="B97" s="551"/>
      <c r="C97" s="42" t="str">
        <f>'Anexo V - ano 1 a 10 - inicial'!C97</f>
        <v>Aparelho Telefônico</v>
      </c>
      <c r="D97" s="473">
        <f>'Anexo V - ano 11 a 15'!E97</f>
        <v>8</v>
      </c>
      <c r="E97" s="473">
        <v>11</v>
      </c>
      <c r="F97" s="518">
        <f t="shared" si="12"/>
        <v>3</v>
      </c>
      <c r="G97" s="478">
        <f>'Anexo V - ano 1 a 10 - inicial'!F97</f>
        <v>327.85311999999999</v>
      </c>
      <c r="H97" s="512">
        <f>F97*G97</f>
        <v>983.55935999999997</v>
      </c>
      <c r="I97" s="589">
        <f>H97*10/100</f>
        <v>98.355936</v>
      </c>
    </row>
    <row r="98" spans="2:12" ht="12.75" customHeight="1" x14ac:dyDescent="0.35">
      <c r="B98" s="551"/>
      <c r="C98" s="42" t="str">
        <f>'Anexo V - ano 1 a 10 - inicial'!C98</f>
        <v>Copiadora Multifuncional</v>
      </c>
      <c r="D98" s="473">
        <f>'Anexo V - ano 11 a 15'!E98</f>
        <v>5</v>
      </c>
      <c r="E98" s="473">
        <v>6</v>
      </c>
      <c r="F98" s="518">
        <f t="shared" si="12"/>
        <v>1</v>
      </c>
      <c r="G98" s="478">
        <f>'Anexo V - ano 1 a 10 - inicial'!F98</f>
        <v>3421.9669399999998</v>
      </c>
      <c r="H98" s="512">
        <f>F98*G98</f>
        <v>3421.9669399999998</v>
      </c>
      <c r="I98" s="589">
        <f>H98*10/100</f>
        <v>342.19669399999998</v>
      </c>
      <c r="J98" s="590"/>
      <c r="K98" s="7"/>
      <c r="L98" s="7"/>
    </row>
    <row r="99" spans="2:12" ht="12.75" customHeight="1" x14ac:dyDescent="0.35">
      <c r="B99" s="551"/>
      <c r="C99" s="42" t="str">
        <f>'Anexo V - ano 1 a 10 - inicial'!C99</f>
        <v>Outros (diversos 15% total)</v>
      </c>
      <c r="D99" s="613"/>
      <c r="E99" s="613"/>
      <c r="F99" s="613"/>
      <c r="G99" s="481"/>
      <c r="H99" s="517">
        <f>SUM(H80:H98)*I102</f>
        <v>6888.045313460324</v>
      </c>
      <c r="I99" s="517">
        <f>H99*10/100</f>
        <v>688.80453134603249</v>
      </c>
      <c r="J99" s="353"/>
      <c r="K99" s="7"/>
      <c r="L99" s="7"/>
    </row>
    <row r="100" spans="2:12" ht="12.75" customHeight="1" x14ac:dyDescent="0.35">
      <c r="B100" s="551"/>
      <c r="C100" s="483" t="s">
        <v>265</v>
      </c>
      <c r="D100" s="592"/>
      <c r="E100" s="592"/>
      <c r="F100" s="1054"/>
      <c r="G100" s="1054"/>
      <c r="H100" s="484">
        <f>SUM(H80:H99)</f>
        <v>52808.347403195818</v>
      </c>
      <c r="I100" s="614">
        <f>SUM(I80:I99)</f>
        <v>5280.834740319583</v>
      </c>
      <c r="J100" s="353"/>
      <c r="K100" s="7"/>
      <c r="L100" s="7"/>
    </row>
    <row r="101" spans="2:12" ht="12.75" customHeight="1" x14ac:dyDescent="0.35">
      <c r="B101" s="551"/>
      <c r="C101" s="7"/>
      <c r="D101" s="7"/>
      <c r="E101" s="7"/>
      <c r="F101" s="7"/>
      <c r="G101" s="7"/>
      <c r="H101" s="309"/>
      <c r="I101" s="309"/>
      <c r="J101" s="7"/>
      <c r="K101" s="7"/>
      <c r="L101" s="7"/>
    </row>
    <row r="102" spans="2:12" ht="12.75" customHeight="1" x14ac:dyDescent="0.35">
      <c r="B102" s="551"/>
      <c r="C102" s="7"/>
      <c r="D102" s="7"/>
      <c r="E102" s="7"/>
      <c r="F102" s="7"/>
      <c r="G102" s="7"/>
      <c r="H102" s="601" t="s">
        <v>514</v>
      </c>
      <c r="I102" s="486">
        <v>0.15</v>
      </c>
      <c r="J102" s="7"/>
      <c r="K102" s="7"/>
      <c r="L102" s="7"/>
    </row>
    <row r="103" spans="2:12" ht="12.75" customHeight="1" x14ac:dyDescent="0.35">
      <c r="B103" s="551"/>
      <c r="C103" s="7"/>
      <c r="D103" s="7"/>
      <c r="E103" s="7"/>
      <c r="F103" s="7"/>
      <c r="G103" s="7"/>
      <c r="H103" s="309"/>
      <c r="I103" s="309"/>
      <c r="J103" s="7"/>
      <c r="K103" s="7"/>
      <c r="L103" s="7"/>
    </row>
    <row r="104" spans="2:12" ht="12.75" customHeight="1" x14ac:dyDescent="0.35">
      <c r="B104" s="551"/>
      <c r="C104" s="7"/>
      <c r="D104" s="7"/>
      <c r="E104" s="7"/>
      <c r="F104" s="7"/>
      <c r="G104" s="7"/>
      <c r="H104" s="7"/>
      <c r="I104" s="7" t="s">
        <v>263</v>
      </c>
      <c r="J104" s="7"/>
      <c r="K104" s="7"/>
      <c r="L104" s="7"/>
    </row>
    <row r="105" spans="2:12" ht="12.75" customHeight="1" x14ac:dyDescent="0.35">
      <c r="B105" s="550">
        <v>5</v>
      </c>
      <c r="C105" s="1033" t="s">
        <v>515</v>
      </c>
      <c r="D105" s="1033"/>
      <c r="E105" s="1033"/>
      <c r="F105" s="1033"/>
      <c r="G105" s="1033"/>
      <c r="H105" s="1033"/>
      <c r="I105" s="1033"/>
      <c r="J105" s="7"/>
      <c r="K105" s="7"/>
      <c r="L105" s="7"/>
    </row>
    <row r="106" spans="2:12" ht="12.75" customHeight="1" x14ac:dyDescent="0.35">
      <c r="B106" s="551"/>
      <c r="C106" s="470" t="s">
        <v>449</v>
      </c>
      <c r="D106" s="472" t="s">
        <v>550</v>
      </c>
      <c r="E106" s="472" t="s">
        <v>565</v>
      </c>
      <c r="F106" s="472" t="s">
        <v>551</v>
      </c>
      <c r="G106" s="472" t="s">
        <v>528</v>
      </c>
      <c r="H106" s="472" t="s">
        <v>473</v>
      </c>
      <c r="I106" s="472" t="s">
        <v>569</v>
      </c>
      <c r="J106" s="7"/>
      <c r="K106" s="7"/>
      <c r="L106" s="7">
        <v>5</v>
      </c>
    </row>
    <row r="107" spans="2:12" ht="12.75" customHeight="1" x14ac:dyDescent="0.35">
      <c r="B107" s="551"/>
      <c r="C107" s="42" t="s">
        <v>517</v>
      </c>
      <c r="D107" s="473">
        <f>'Anexo V - ano 11 a 15'!E107</f>
        <v>0</v>
      </c>
      <c r="E107" s="473">
        <f>D107</f>
        <v>0</v>
      </c>
      <c r="F107" s="518">
        <f>E107-D107</f>
        <v>0</v>
      </c>
      <c r="G107" s="478">
        <f>'Anexo V - ano 1 a 10 - inicial'!E107</f>
        <v>0</v>
      </c>
      <c r="H107" s="512">
        <f t="shared" ref="H107" si="17">F107*G107</f>
        <v>0</v>
      </c>
      <c r="I107" s="512">
        <f>H107*0.1</f>
        <v>0</v>
      </c>
      <c r="J107" s="7"/>
      <c r="K107" s="7"/>
      <c r="L107" s="7"/>
    </row>
    <row r="108" spans="2:12" ht="12.75" customHeight="1" x14ac:dyDescent="0.35">
      <c r="B108" s="551"/>
      <c r="C108" s="42" t="s">
        <v>518</v>
      </c>
      <c r="D108" s="473">
        <f>'Anexo V - ano 11 a 15'!E108</f>
        <v>0</v>
      </c>
      <c r="E108" s="473">
        <f t="shared" ref="E108:E112" si="18">D108</f>
        <v>0</v>
      </c>
      <c r="F108" s="518">
        <f t="shared" ref="F108:F111" si="19">E108-D108</f>
        <v>0</v>
      </c>
      <c r="G108" s="478">
        <f>'Anexo V - ano 1 a 10 - inicial'!E108</f>
        <v>0</v>
      </c>
      <c r="H108" s="512">
        <f t="shared" ref="H108:H111" si="20">F108*G108</f>
        <v>0</v>
      </c>
      <c r="I108" s="512">
        <f t="shared" ref="I108:I112" si="21">H108*0.1</f>
        <v>0</v>
      </c>
      <c r="J108" s="7"/>
      <c r="K108" s="7"/>
      <c r="L108" s="7"/>
    </row>
    <row r="109" spans="2:12" ht="12.75" customHeight="1" x14ac:dyDescent="0.35">
      <c r="B109" s="551"/>
      <c r="C109" s="42" t="s">
        <v>519</v>
      </c>
      <c r="D109" s="473">
        <f>'Anexo V - ano 11 a 15'!E109</f>
        <v>1</v>
      </c>
      <c r="E109" s="473">
        <v>1</v>
      </c>
      <c r="F109" s="518">
        <f t="shared" si="19"/>
        <v>0</v>
      </c>
      <c r="G109" s="478">
        <f>'Anexo V - ano 1 a 10 - inicial'!E109</f>
        <v>1842</v>
      </c>
      <c r="H109" s="512">
        <f t="shared" si="20"/>
        <v>0</v>
      </c>
      <c r="I109" s="512">
        <f t="shared" si="21"/>
        <v>0</v>
      </c>
      <c r="J109" s="7"/>
      <c r="K109" s="7"/>
      <c r="L109" s="7"/>
    </row>
    <row r="110" spans="2:12" ht="12.75" customHeight="1" x14ac:dyDescent="0.35">
      <c r="B110" s="551"/>
      <c r="C110" s="42" t="s">
        <v>520</v>
      </c>
      <c r="D110" s="473">
        <f>'Anexo V - ano 11 a 15'!E110</f>
        <v>0</v>
      </c>
      <c r="E110" s="473">
        <f>D110</f>
        <v>0</v>
      </c>
      <c r="F110" s="518">
        <f t="shared" si="19"/>
        <v>0</v>
      </c>
      <c r="G110" s="478">
        <f>'Anexo V - ano 1 a 10 - inicial'!E110</f>
        <v>0</v>
      </c>
      <c r="H110" s="512">
        <f t="shared" si="20"/>
        <v>0</v>
      </c>
      <c r="I110" s="512">
        <f t="shared" si="21"/>
        <v>0</v>
      </c>
      <c r="J110" s="7"/>
      <c r="K110" s="7"/>
      <c r="L110" s="7"/>
    </row>
    <row r="111" spans="2:12" ht="12.75" customHeight="1" x14ac:dyDescent="0.35">
      <c r="B111" s="551"/>
      <c r="C111" s="42" t="s">
        <v>521</v>
      </c>
      <c r="D111" s="473">
        <f>'Anexo V - ano 11 a 15'!E111</f>
        <v>4</v>
      </c>
      <c r="E111" s="473">
        <f>D111</f>
        <v>4</v>
      </c>
      <c r="F111" s="518">
        <f t="shared" si="19"/>
        <v>0</v>
      </c>
      <c r="G111" s="478">
        <f>'Anexo V - ano 1 a 10 - inicial'!E111</f>
        <v>3300</v>
      </c>
      <c r="H111" s="512">
        <f t="shared" si="20"/>
        <v>0</v>
      </c>
      <c r="I111" s="512">
        <f t="shared" si="21"/>
        <v>0</v>
      </c>
      <c r="J111" s="7"/>
      <c r="K111" s="7"/>
      <c r="L111" s="7"/>
    </row>
    <row r="112" spans="2:12" ht="12.75" customHeight="1" thickBot="1" x14ac:dyDescent="0.4">
      <c r="B112" s="551"/>
      <c r="C112" s="479" t="s">
        <v>522</v>
      </c>
      <c r="D112" s="473">
        <f>'Anexo V - ano 11 a 15'!E112</f>
        <v>1</v>
      </c>
      <c r="E112" s="473">
        <f t="shared" si="18"/>
        <v>1</v>
      </c>
      <c r="F112" s="518">
        <f t="shared" ref="F112" si="22">E112-D112</f>
        <v>0</v>
      </c>
      <c r="G112" s="478">
        <f>'Anexo V - ano 1 a 10 - inicial'!E112</f>
        <v>63500</v>
      </c>
      <c r="H112" s="512">
        <f t="shared" ref="H112" si="23">F112*G112</f>
        <v>0</v>
      </c>
      <c r="I112" s="512">
        <f t="shared" si="21"/>
        <v>0</v>
      </c>
      <c r="J112" s="7"/>
      <c r="K112" s="7"/>
      <c r="L112" s="7"/>
    </row>
    <row r="113" spans="2:12" ht="12.75" customHeight="1" x14ac:dyDescent="0.35">
      <c r="B113" s="551"/>
      <c r="C113" s="547" t="s">
        <v>265</v>
      </c>
      <c r="D113" s="547"/>
      <c r="E113" s="547"/>
      <c r="F113" s="1029"/>
      <c r="G113" s="1029"/>
      <c r="H113" s="484">
        <f>SUM(H107:H112)</f>
        <v>0</v>
      </c>
      <c r="I113" s="484">
        <f>H113*0.1</f>
        <v>0</v>
      </c>
      <c r="J113" s="7"/>
      <c r="K113" s="7"/>
      <c r="L113" s="7"/>
    </row>
    <row r="115" spans="2:12" ht="12.75" customHeight="1" x14ac:dyDescent="0.35">
      <c r="B115" s="551"/>
      <c r="C115" s="7"/>
      <c r="D115" s="7"/>
      <c r="E115" s="7"/>
      <c r="F115" s="7"/>
      <c r="G115" s="7"/>
      <c r="H115" s="601" t="s">
        <v>570</v>
      </c>
      <c r="I115" s="486">
        <v>0.15</v>
      </c>
      <c r="J115" s="7"/>
      <c r="K115" s="7"/>
      <c r="L115" s="7"/>
    </row>
    <row r="116" spans="2:12" ht="12.75" customHeight="1" x14ac:dyDescent="0.35">
      <c r="B116" s="551"/>
      <c r="C116" s="7"/>
      <c r="D116" s="7"/>
      <c r="E116" s="7"/>
      <c r="F116" s="7"/>
      <c r="G116" s="7"/>
      <c r="H116" s="309"/>
      <c r="I116" s="309"/>
      <c r="J116" s="7"/>
      <c r="K116" s="7"/>
      <c r="L116" s="7"/>
    </row>
    <row r="117" spans="2:12" ht="12.75" customHeight="1" x14ac:dyDescent="0.35">
      <c r="B117" s="551"/>
      <c r="C117" s="7"/>
      <c r="D117" s="7"/>
      <c r="E117" s="7"/>
      <c r="F117" s="7"/>
      <c r="G117" s="7"/>
      <c r="H117" s="7"/>
      <c r="I117" s="7"/>
      <c r="J117" s="7"/>
      <c r="K117" s="7"/>
      <c r="L117" s="7"/>
    </row>
    <row r="118" spans="2:12" ht="12.75" customHeight="1" x14ac:dyDescent="0.35">
      <c r="B118" s="550">
        <v>6</v>
      </c>
      <c r="C118" s="1056" t="s">
        <v>523</v>
      </c>
      <c r="D118" s="1056"/>
      <c r="E118" s="1056"/>
      <c r="F118" s="1056"/>
      <c r="G118" s="1056"/>
      <c r="H118" s="1056"/>
      <c r="I118" s="1056"/>
      <c r="J118" s="7"/>
      <c r="K118" s="7"/>
      <c r="L118" s="7"/>
    </row>
    <row r="119" spans="2:12" ht="12.75" customHeight="1" x14ac:dyDescent="0.35">
      <c r="B119" s="551"/>
      <c r="C119" s="470" t="s">
        <v>449</v>
      </c>
      <c r="D119" s="472" t="s">
        <v>550</v>
      </c>
      <c r="E119" s="472" t="s">
        <v>565</v>
      </c>
      <c r="F119" s="472" t="s">
        <v>551</v>
      </c>
      <c r="G119" s="472" t="s">
        <v>528</v>
      </c>
      <c r="H119" s="472" t="s">
        <v>473</v>
      </c>
      <c r="I119" s="472" t="s">
        <v>569</v>
      </c>
      <c r="J119" s="7"/>
      <c r="K119" s="7"/>
      <c r="L119" s="7"/>
    </row>
    <row r="120" spans="2:12" ht="12.75" customHeight="1" x14ac:dyDescent="0.35">
      <c r="B120" s="551"/>
      <c r="C120" s="42" t="s">
        <v>517</v>
      </c>
      <c r="D120" s="473">
        <f>'Anexo V - ano 11 a 15'!E120</f>
        <v>15</v>
      </c>
      <c r="E120" s="473">
        <v>20</v>
      </c>
      <c r="F120" s="518">
        <f>E120-D120</f>
        <v>5</v>
      </c>
      <c r="G120" s="478">
        <f>'Anexo V - ano 1 a 10 - inicial'!F121</f>
        <v>4951.0943824999995</v>
      </c>
      <c r="H120" s="512">
        <f>F120*G120</f>
        <v>24755.471912499997</v>
      </c>
      <c r="I120" s="512">
        <f t="shared" ref="I120:I125" si="24">H120*0.1</f>
        <v>2475.5471912499997</v>
      </c>
      <c r="J120" s="7"/>
      <c r="K120" s="7"/>
      <c r="L120" s="7">
        <v>5</v>
      </c>
    </row>
    <row r="121" spans="2:12" ht="12.75" customHeight="1" x14ac:dyDescent="0.35">
      <c r="B121" s="551"/>
      <c r="C121" s="42" t="s">
        <v>518</v>
      </c>
      <c r="D121" s="473">
        <f>'Anexo V - ano 11 a 15'!E121</f>
        <v>8</v>
      </c>
      <c r="E121" s="473">
        <v>10</v>
      </c>
      <c r="F121" s="518">
        <f t="shared" ref="F121:F124" si="25">E121-D121</f>
        <v>2</v>
      </c>
      <c r="G121" s="478">
        <f>'Anexo V - ano 1 a 10 - inicial'!F122</f>
        <v>5015.1281949999993</v>
      </c>
      <c r="H121" s="512">
        <f>F121*G121</f>
        <v>10030.256389999999</v>
      </c>
      <c r="I121" s="512">
        <f t="shared" si="24"/>
        <v>1003.025639</v>
      </c>
      <c r="J121" s="7"/>
      <c r="K121" s="7"/>
      <c r="L121" s="7"/>
    </row>
    <row r="122" spans="2:12" ht="12.75" customHeight="1" x14ac:dyDescent="0.35">
      <c r="B122" s="551"/>
      <c r="C122" s="42" t="s">
        <v>524</v>
      </c>
      <c r="D122" s="473">
        <f>'Anexo V - ano 11 a 15'!E122</f>
        <v>9</v>
      </c>
      <c r="E122" s="473">
        <v>12</v>
      </c>
      <c r="F122" s="518">
        <f t="shared" si="25"/>
        <v>3</v>
      </c>
      <c r="G122" s="478">
        <f>'Anexo V - ano 1 a 10 - inicial'!F123</f>
        <v>1887.2045219999998</v>
      </c>
      <c r="H122" s="512">
        <f>F122*G122</f>
        <v>5661.6135659999991</v>
      </c>
      <c r="I122" s="512">
        <f t="shared" si="24"/>
        <v>566.16135659999998</v>
      </c>
      <c r="J122" s="7"/>
      <c r="K122" s="7"/>
      <c r="L122" s="7"/>
    </row>
    <row r="123" spans="2:12" ht="12.75" customHeight="1" x14ac:dyDescent="0.35">
      <c r="B123" s="551"/>
      <c r="C123" s="42" t="s">
        <v>525</v>
      </c>
      <c r="D123" s="473">
        <f>'Anexo V - ano 11 a 15'!E123</f>
        <v>4</v>
      </c>
      <c r="E123" s="473">
        <v>6</v>
      </c>
      <c r="F123" s="518">
        <f t="shared" si="25"/>
        <v>2</v>
      </c>
      <c r="G123" s="478">
        <f>'Anexo V - ano 1 a 10 - inicial'!F124</f>
        <v>867.50960092999992</v>
      </c>
      <c r="H123" s="512">
        <f>F123*G123</f>
        <v>1735.0192018599998</v>
      </c>
      <c r="I123" s="512">
        <f t="shared" si="24"/>
        <v>173.50192018600001</v>
      </c>
      <c r="J123" s="7"/>
      <c r="K123" s="7"/>
      <c r="L123" s="7"/>
    </row>
    <row r="124" spans="2:12" ht="12.75" customHeight="1" x14ac:dyDescent="0.35">
      <c r="B124" s="551"/>
      <c r="C124" s="42" t="s">
        <v>520</v>
      </c>
      <c r="D124" s="473">
        <f>'Anexo V - ano 11 a 15'!E124</f>
        <v>8</v>
      </c>
      <c r="E124" s="473">
        <v>10</v>
      </c>
      <c r="F124" s="518">
        <f t="shared" si="25"/>
        <v>2</v>
      </c>
      <c r="G124" s="478">
        <f>'Anexo V - ano 1 a 10 - inicial'!F125</f>
        <v>197.736413</v>
      </c>
      <c r="H124" s="512">
        <f>F124*G124</f>
        <v>395.472826</v>
      </c>
      <c r="I124" s="512">
        <f t="shared" si="24"/>
        <v>39.547282600000003</v>
      </c>
      <c r="J124" s="7"/>
      <c r="K124" s="7"/>
      <c r="L124" s="7"/>
    </row>
    <row r="125" spans="2:12" ht="12.75" customHeight="1" x14ac:dyDescent="0.35">
      <c r="B125" s="551"/>
      <c r="C125" s="42" t="s">
        <v>521</v>
      </c>
      <c r="D125" s="473">
        <f>'Anexo V - ano 11 a 15'!E125</f>
        <v>25</v>
      </c>
      <c r="E125" s="473">
        <v>25</v>
      </c>
      <c r="F125" s="518">
        <f t="shared" ref="F125" si="26">E125-D125</f>
        <v>0</v>
      </c>
      <c r="G125" s="478">
        <f>'Anexo V - ano 1 a 10 - inicial'!F126</f>
        <v>4250</v>
      </c>
      <c r="H125" s="512">
        <f t="shared" ref="H125" si="27">F125*G125</f>
        <v>0</v>
      </c>
      <c r="I125" s="512">
        <f t="shared" si="24"/>
        <v>0</v>
      </c>
      <c r="J125" s="7"/>
      <c r="K125" s="7"/>
      <c r="L125" s="7"/>
    </row>
    <row r="126" spans="2:12" ht="12.75" customHeight="1" thickBot="1" x14ac:dyDescent="0.4">
      <c r="B126" s="551"/>
      <c r="C126" s="479" t="s">
        <v>526</v>
      </c>
      <c r="D126" s="473">
        <f>'Anexo V - ano 11 a 15'!E126</f>
        <v>1</v>
      </c>
      <c r="E126" s="480">
        <v>1</v>
      </c>
      <c r="F126" s="518">
        <f t="shared" ref="F126" si="28">E126-D126</f>
        <v>0</v>
      </c>
      <c r="G126" s="481">
        <f>'Anexo V - ano 1 a 10 - inicial'!F127</f>
        <v>385000</v>
      </c>
      <c r="H126" s="517">
        <v>0</v>
      </c>
      <c r="I126" s="512">
        <f t="shared" ref="I126" si="29">H126*0.1</f>
        <v>0</v>
      </c>
      <c r="J126" s="7"/>
      <c r="K126" s="7"/>
      <c r="L126" s="7"/>
    </row>
    <row r="127" spans="2:12" ht="12.75" customHeight="1" x14ac:dyDescent="0.35">
      <c r="B127" s="551"/>
      <c r="C127" s="483" t="s">
        <v>265</v>
      </c>
      <c r="D127" s="592"/>
      <c r="E127" s="592"/>
      <c r="F127" s="1054"/>
      <c r="G127" s="1054"/>
      <c r="H127" s="484">
        <f>SUM(H120:H126)</f>
        <v>42577.833896359989</v>
      </c>
      <c r="I127" s="484">
        <f>H127*0.1</f>
        <v>4257.7833896359989</v>
      </c>
      <c r="J127" s="7"/>
      <c r="K127" s="7"/>
      <c r="L127" s="7"/>
    </row>
    <row r="132" spans="2:12" ht="12.75" customHeight="1" x14ac:dyDescent="0.35">
      <c r="B132" s="550">
        <v>7</v>
      </c>
      <c r="C132" s="1035" t="s">
        <v>527</v>
      </c>
      <c r="D132" s="1035"/>
      <c r="E132" s="1035"/>
      <c r="F132" s="1035"/>
      <c r="G132" s="1035"/>
      <c r="H132" s="1035"/>
      <c r="I132" s="1035"/>
      <c r="J132" s="7"/>
      <c r="K132" s="7"/>
      <c r="L132" s="7"/>
    </row>
    <row r="133" spans="2:12" ht="12.75" customHeight="1" x14ac:dyDescent="0.35">
      <c r="B133" s="551"/>
      <c r="C133" s="470" t="s">
        <v>449</v>
      </c>
      <c r="D133" s="472" t="s">
        <v>550</v>
      </c>
      <c r="E133" s="472" t="s">
        <v>565</v>
      </c>
      <c r="F133" s="472" t="s">
        <v>551</v>
      </c>
      <c r="G133" s="472" t="s">
        <v>528</v>
      </c>
      <c r="H133" s="472" t="s">
        <v>473</v>
      </c>
      <c r="I133" s="472" t="s">
        <v>569</v>
      </c>
      <c r="J133" s="7"/>
      <c r="K133" s="7"/>
      <c r="L133" s="7"/>
    </row>
    <row r="134" spans="2:12" ht="12.75" customHeight="1" x14ac:dyDescent="0.35">
      <c r="B134" s="551"/>
      <c r="C134" s="42" t="str">
        <f>'Anexo V - ano 1 a 10 - inicial'!C135</f>
        <v>Sistema Informatizado monitoramento e de vigilância eletrônica</v>
      </c>
      <c r="D134" s="522">
        <f>'Anexo V - ano 11 a 15'!E134</f>
        <v>2</v>
      </c>
      <c r="E134" s="522">
        <v>3</v>
      </c>
      <c r="F134" s="518">
        <f>E134-D134</f>
        <v>1</v>
      </c>
      <c r="G134" s="594">
        <v>125000</v>
      </c>
      <c r="H134" s="523">
        <f>F134*G134</f>
        <v>125000</v>
      </c>
      <c r="I134" s="781">
        <f>H134*0.1</f>
        <v>12500</v>
      </c>
      <c r="J134" s="7"/>
      <c r="K134" s="7"/>
      <c r="L134" s="7"/>
    </row>
    <row r="135" spans="2:12" ht="12.75" customHeight="1" thickBot="1" x14ac:dyDescent="0.4">
      <c r="B135" s="551"/>
      <c r="C135" s="42" t="str">
        <f>'Anexo V - ano 1 a 10 - inicial'!C136</f>
        <v>Sist.  SICA - Informação de controle de acesso de pessoas e veículos, movimentação de cargas e estocagem de merc.</v>
      </c>
      <c r="D135" s="537">
        <f>'Anexo V - ano 11 a 15'!E135</f>
        <v>1</v>
      </c>
      <c r="E135" s="528">
        <v>1</v>
      </c>
      <c r="F135" s="940">
        <v>0</v>
      </c>
      <c r="G135" s="529">
        <f>'Anexo V - ano 1 a 10 - inicial'!E136</f>
        <v>2625000</v>
      </c>
      <c r="H135" s="530">
        <f>F135*G135</f>
        <v>0</v>
      </c>
      <c r="I135" s="781">
        <f>H135*0.1</f>
        <v>0</v>
      </c>
      <c r="J135" s="7"/>
      <c r="K135" s="7"/>
      <c r="L135" s="7"/>
    </row>
    <row r="136" spans="2:12" ht="12.75" customHeight="1" x14ac:dyDescent="0.35">
      <c r="B136" s="551"/>
      <c r="C136" s="483" t="s">
        <v>265</v>
      </c>
      <c r="D136" s="547"/>
      <c r="E136" s="547"/>
      <c r="F136" s="1029"/>
      <c r="G136" s="1029"/>
      <c r="H136" s="484">
        <f>SUM(H134:H135)</f>
        <v>125000</v>
      </c>
      <c r="I136" s="782">
        <f>SUM(I134:I135)</f>
        <v>12500</v>
      </c>
      <c r="J136" s="7"/>
      <c r="K136" s="7"/>
      <c r="L136" s="7"/>
    </row>
    <row r="137" spans="2:12" ht="12.75" customHeight="1" x14ac:dyDescent="0.35">
      <c r="B137" s="551"/>
      <c r="C137" s="7"/>
      <c r="D137" s="7"/>
      <c r="E137" s="7"/>
      <c r="F137" s="7"/>
      <c r="G137" s="7"/>
      <c r="H137" s="309"/>
      <c r="I137" s="309"/>
      <c r="J137" s="7"/>
      <c r="K137" s="7"/>
      <c r="L137" s="7"/>
    </row>
    <row r="138" spans="2:12" ht="12.75" customHeight="1" x14ac:dyDescent="0.35">
      <c r="B138" s="551"/>
      <c r="C138" s="7"/>
      <c r="D138" s="7"/>
      <c r="E138" s="7"/>
      <c r="F138" s="7"/>
      <c r="G138" s="7"/>
      <c r="H138" s="309"/>
      <c r="I138" s="309"/>
      <c r="J138" s="7"/>
      <c r="K138" s="7"/>
      <c r="L138" s="7"/>
    </row>
    <row r="139" spans="2:12" ht="12.75" customHeight="1" x14ac:dyDescent="0.35">
      <c r="B139" s="551"/>
      <c r="C139" s="7"/>
      <c r="D139" s="7"/>
      <c r="E139" s="7"/>
      <c r="F139" s="7"/>
      <c r="G139" s="7"/>
      <c r="H139" s="309"/>
      <c r="I139" s="309"/>
      <c r="J139" s="7"/>
      <c r="K139" s="7"/>
      <c r="L139" s="7"/>
    </row>
    <row r="140" spans="2:12" ht="12.75" customHeight="1" x14ac:dyDescent="0.35">
      <c r="B140" s="551"/>
      <c r="C140" s="7"/>
      <c r="D140" s="7"/>
      <c r="E140" s="7"/>
      <c r="F140" s="7"/>
      <c r="G140" s="7"/>
      <c r="H140" s="7"/>
      <c r="I140" s="7"/>
      <c r="J140" s="7"/>
      <c r="K140" s="7"/>
      <c r="L140" s="7"/>
    </row>
    <row r="141" spans="2:12" ht="12.75" customHeight="1" x14ac:dyDescent="0.35">
      <c r="B141" s="550">
        <v>8</v>
      </c>
      <c r="C141" s="1055" t="s">
        <v>533</v>
      </c>
      <c r="D141" s="1055"/>
      <c r="E141" s="1055"/>
      <c r="F141" s="1055"/>
      <c r="G141" s="1055"/>
      <c r="H141" s="1055"/>
      <c r="I141" s="1055"/>
      <c r="J141" s="7"/>
      <c r="K141" s="7"/>
      <c r="L141" s="7"/>
    </row>
    <row r="142" spans="2:12" ht="12.75" customHeight="1" x14ac:dyDescent="0.35">
      <c r="B142" s="551"/>
      <c r="C142" s="470" t="s">
        <v>449</v>
      </c>
      <c r="D142" s="472" t="s">
        <v>550</v>
      </c>
      <c r="E142" s="472" t="s">
        <v>565</v>
      </c>
      <c r="F142" s="472" t="s">
        <v>551</v>
      </c>
      <c r="G142" s="472" t="s">
        <v>528</v>
      </c>
      <c r="H142" s="472" t="s">
        <v>473</v>
      </c>
      <c r="I142" s="472" t="s">
        <v>569</v>
      </c>
      <c r="J142" s="7"/>
      <c r="K142" s="7"/>
      <c r="L142" s="7">
        <v>5</v>
      </c>
    </row>
    <row r="143" spans="2:12" ht="12.75" customHeight="1" x14ac:dyDescent="0.35">
      <c r="B143" s="551"/>
      <c r="C143" s="42" t="str">
        <f>'Anexo V - ano 1 a 10 - inicial'!C144</f>
        <v>Veículos de Serviço (carro popular)</v>
      </c>
      <c r="D143" s="473">
        <f>'Anexo V - ano 11 a 15'!E143</f>
        <v>2</v>
      </c>
      <c r="E143" s="473">
        <f>D143</f>
        <v>2</v>
      </c>
      <c r="F143" s="518">
        <f>E143-D143</f>
        <v>0</v>
      </c>
      <c r="G143" s="478">
        <f>'Anexo V - ano 1 a 10 - inicial'!E144</f>
        <v>92500</v>
      </c>
      <c r="H143" s="512">
        <f>F143*G143</f>
        <v>0</v>
      </c>
      <c r="I143" s="512">
        <f>H143*0.1</f>
        <v>0</v>
      </c>
      <c r="J143" s="7"/>
      <c r="K143" s="7"/>
      <c r="L143" s="7"/>
    </row>
    <row r="144" spans="2:12" ht="12.75" customHeight="1" x14ac:dyDescent="0.35">
      <c r="B144" s="551"/>
      <c r="C144" s="42" t="str">
        <f>'Anexo V - ano 1 a 10 - inicial'!C145</f>
        <v>TOTAL</v>
      </c>
      <c r="D144" s="473">
        <v>1</v>
      </c>
      <c r="E144" s="473">
        <v>1</v>
      </c>
      <c r="F144" s="518">
        <f>E144-D144</f>
        <v>0</v>
      </c>
      <c r="G144" s="478">
        <f>'Anexo V - ano 1 a 10 - inicial'!E145</f>
        <v>0</v>
      </c>
      <c r="H144" s="512">
        <f>H143</f>
        <v>0</v>
      </c>
      <c r="I144" s="512">
        <f>H144*0.1</f>
        <v>0</v>
      </c>
      <c r="J144" s="7"/>
      <c r="K144" s="7"/>
      <c r="L144" s="7"/>
    </row>
    <row r="147" spans="2:9" ht="12.75" customHeight="1" x14ac:dyDescent="0.35">
      <c r="B147" s="615">
        <v>9</v>
      </c>
      <c r="C147" s="1043" t="s">
        <v>535</v>
      </c>
      <c r="D147" s="1043"/>
      <c r="E147" s="1043"/>
      <c r="F147" s="1043"/>
      <c r="G147" s="1043"/>
      <c r="H147" s="1043"/>
      <c r="I147" s="1043"/>
    </row>
    <row r="148" spans="2:9" ht="12.75" customHeight="1" x14ac:dyDescent="0.35">
      <c r="B148" s="551"/>
      <c r="C148" s="534" t="s">
        <v>449</v>
      </c>
      <c r="D148" s="472" t="s">
        <v>550</v>
      </c>
      <c r="E148" s="472" t="s">
        <v>565</v>
      </c>
      <c r="F148" s="535" t="s">
        <v>551</v>
      </c>
      <c r="G148" s="535" t="s">
        <v>528</v>
      </c>
      <c r="H148" s="535" t="s">
        <v>473</v>
      </c>
      <c r="I148" s="535" t="s">
        <v>566</v>
      </c>
    </row>
    <row r="149" spans="2:9" ht="12.75" customHeight="1" x14ac:dyDescent="0.35">
      <c r="B149" s="551"/>
      <c r="C149" s="42" t="str">
        <f>'Anexo V - ano 1 a 10 - inicial'!C150</f>
        <v>Sistema de Qualidade</v>
      </c>
      <c r="D149" s="473">
        <f>'Anexo V - ano 11 a 15'!E149</f>
        <v>1</v>
      </c>
      <c r="E149" s="473">
        <v>1</v>
      </c>
      <c r="F149" s="518">
        <v>0</v>
      </c>
      <c r="G149" s="476">
        <f>'Anexo V - ano 1 a 10 - inicial'!E150</f>
        <v>78560</v>
      </c>
      <c r="H149" s="475">
        <f>F149*G149</f>
        <v>0</v>
      </c>
      <c r="I149" s="512">
        <f>H149*10/100</f>
        <v>0</v>
      </c>
    </row>
    <row r="150" spans="2:9" ht="12.75" customHeight="1" x14ac:dyDescent="0.35">
      <c r="B150" s="551"/>
      <c r="C150" s="42" t="str">
        <f>'Anexo V - ano 1 a 10 - inicial'!C151</f>
        <v>Sistema de Segurança e Medicina do Trabalho</v>
      </c>
      <c r="D150" s="480">
        <f>'Anexo V - ano 11 a 15'!E150</f>
        <v>1</v>
      </c>
      <c r="E150" s="537">
        <f>D150</f>
        <v>1</v>
      </c>
      <c r="F150" s="940">
        <v>0</v>
      </c>
      <c r="G150" s="616">
        <f>'Anexo V - ano 1 a 10 - inicial'!E151</f>
        <v>37789.80773</v>
      </c>
      <c r="H150" s="538">
        <f>F150*G150</f>
        <v>0</v>
      </c>
      <c r="I150" s="517">
        <f>H150*10/100</f>
        <v>0</v>
      </c>
    </row>
    <row r="151" spans="2:9" ht="12.75" customHeight="1" x14ac:dyDescent="0.35">
      <c r="B151" s="551"/>
      <c r="C151" s="483" t="s">
        <v>265</v>
      </c>
      <c r="D151" s="547"/>
      <c r="E151" s="547"/>
      <c r="F151" s="1029"/>
      <c r="G151" s="1029"/>
      <c r="H151" s="484">
        <f>SUM(H149:H150)</f>
        <v>0</v>
      </c>
      <c r="I151" s="484">
        <f>H151*0.1</f>
        <v>0</v>
      </c>
    </row>
    <row r="152" spans="2:9" ht="12.75" customHeight="1" x14ac:dyDescent="0.35">
      <c r="B152" s="551"/>
      <c r="C152" s="7"/>
      <c r="D152" s="7"/>
      <c r="E152" s="7"/>
      <c r="F152" s="7"/>
      <c r="G152" s="7"/>
      <c r="H152" s="309"/>
      <c r="I152" s="309"/>
    </row>
    <row r="153" spans="2:9" ht="12.75" customHeight="1" x14ac:dyDescent="0.35">
      <c r="B153" s="551"/>
      <c r="C153" s="7"/>
      <c r="D153" s="7"/>
      <c r="E153" s="7"/>
      <c r="F153" s="7"/>
      <c r="G153" s="7"/>
      <c r="H153" s="309"/>
      <c r="I153" s="309"/>
    </row>
    <row r="154" spans="2:9" ht="12.75" customHeight="1" x14ac:dyDescent="0.35">
      <c r="B154" s="551"/>
      <c r="C154" s="7"/>
      <c r="D154" s="7"/>
      <c r="E154" s="7"/>
      <c r="F154" s="7"/>
      <c r="G154" s="7"/>
      <c r="H154" s="7"/>
      <c r="I154" s="7"/>
    </row>
    <row r="155" spans="2:9" ht="12.75" customHeight="1" x14ac:dyDescent="0.35">
      <c r="B155" s="550">
        <v>10</v>
      </c>
      <c r="C155" s="1033" t="s">
        <v>571</v>
      </c>
      <c r="D155" s="1033"/>
      <c r="E155" s="1033"/>
      <c r="F155" s="1033"/>
      <c r="G155" s="1033"/>
      <c r="H155" s="1033"/>
      <c r="I155" s="1033"/>
    </row>
    <row r="156" spans="2:9" ht="12.75" customHeight="1" x14ac:dyDescent="0.35">
      <c r="B156" s="551"/>
      <c r="C156" s="1027" t="s">
        <v>449</v>
      </c>
      <c r="D156" s="1027"/>
      <c r="E156" s="1027"/>
      <c r="F156" s="1027"/>
      <c r="G156" s="1027"/>
      <c r="H156" s="472" t="s">
        <v>473</v>
      </c>
      <c r="I156" s="472" t="s">
        <v>539</v>
      </c>
    </row>
    <row r="157" spans="2:9" ht="12.75" customHeight="1" x14ac:dyDescent="0.35">
      <c r="B157" s="551"/>
      <c r="C157" s="1040" t="str">
        <f>'Anexo V - ano 1 a 10 - inicial'!C158</f>
        <v>EQUIPAMENTOS</v>
      </c>
      <c r="D157" s="1040"/>
      <c r="E157" s="1040"/>
      <c r="F157" s="1040"/>
      <c r="G157" s="1040"/>
      <c r="H157" s="512">
        <f>H31</f>
        <v>868351.03899999999</v>
      </c>
      <c r="I157" s="512">
        <f>I31</f>
        <v>86835.103900000002</v>
      </c>
    </row>
    <row r="158" spans="2:9" ht="12.75" customHeight="1" x14ac:dyDescent="0.35">
      <c r="B158" s="551"/>
      <c r="C158" s="1040" t="str">
        <f>'Anexo V - ano 1 a 10 - inicial'!C159</f>
        <v>OBRAS</v>
      </c>
      <c r="D158" s="1040"/>
      <c r="E158" s="1040"/>
      <c r="F158" s="1040"/>
      <c r="G158" s="1040"/>
      <c r="H158" s="512">
        <f>H46</f>
        <v>7428902.4523793599</v>
      </c>
      <c r="I158" s="512">
        <f>I46</f>
        <v>742890.24523793603</v>
      </c>
    </row>
    <row r="159" spans="2:9" ht="12.75" customHeight="1" x14ac:dyDescent="0.35">
      <c r="B159" s="551"/>
      <c r="C159" s="1040" t="str">
        <f>'Anexo V - ano 1 a 10 - inicial'!C160</f>
        <v>MOBILIÁRIO RFB</v>
      </c>
      <c r="D159" s="1040"/>
      <c r="E159" s="1040"/>
      <c r="F159" s="1040"/>
      <c r="G159" s="1040"/>
      <c r="H159" s="512">
        <f>H73</f>
        <v>0</v>
      </c>
      <c r="I159" s="512">
        <f>I73</f>
        <v>0</v>
      </c>
    </row>
    <row r="160" spans="2:9" ht="12.75" customHeight="1" x14ac:dyDescent="0.35">
      <c r="B160" s="551"/>
      <c r="C160" s="1040" t="str">
        <f>'Anexo V - ano 1 a 10 - inicial'!C161</f>
        <v>MOBILIÁRIO PERMISSIONÁRIA E OUTROS ÓRGÃOS</v>
      </c>
      <c r="D160" s="1040"/>
      <c r="E160" s="1040"/>
      <c r="F160" s="1040"/>
      <c r="G160" s="1040"/>
      <c r="H160" s="512">
        <f>H100</f>
        <v>52808.347403195818</v>
      </c>
      <c r="I160" s="512">
        <f>I100</f>
        <v>5280.834740319583</v>
      </c>
    </row>
    <row r="161" spans="2:9" ht="12.75" customHeight="1" x14ac:dyDescent="0.35">
      <c r="B161" s="551"/>
      <c r="C161" s="1040" t="str">
        <f>'Anexo V - ano 1 a 10 - inicial'!C162</f>
        <v>INFORMÁTICA - RFB E OUTROS ÓRGÃOS</v>
      </c>
      <c r="D161" s="1040"/>
      <c r="E161" s="1040"/>
      <c r="F161" s="1040"/>
      <c r="G161" s="1040"/>
      <c r="H161" s="512">
        <f>H113</f>
        <v>0</v>
      </c>
      <c r="I161" s="512">
        <f>I113</f>
        <v>0</v>
      </c>
    </row>
    <row r="162" spans="2:9" ht="12.75" customHeight="1" x14ac:dyDescent="0.35">
      <c r="B162" s="551"/>
      <c r="C162" s="1040" t="str">
        <f>'Anexo V - ano 1 a 10 - inicial'!C163</f>
        <v xml:space="preserve">INFORMÁTICA - PERMISSIONÁRIA </v>
      </c>
      <c r="D162" s="1040"/>
      <c r="E162" s="1040"/>
      <c r="F162" s="1040"/>
      <c r="G162" s="1040"/>
      <c r="H162" s="512">
        <f>H127</f>
        <v>42577.833896359989</v>
      </c>
      <c r="I162" s="512">
        <f>I127</f>
        <v>4257.7833896359989</v>
      </c>
    </row>
    <row r="163" spans="2:9" ht="15.75" customHeight="1" x14ac:dyDescent="0.35">
      <c r="B163" s="551"/>
      <c r="C163" s="1040" t="str">
        <f>'Anexo V - ano 1 a 10 - inicial'!C164</f>
        <v>SISTEMAS INFORMATIZADOS - PERMISSIONÁRIA</v>
      </c>
      <c r="D163" s="1040"/>
      <c r="E163" s="1040"/>
      <c r="F163" s="1040"/>
      <c r="G163" s="1040"/>
      <c r="H163" s="523">
        <f>H136</f>
        <v>125000</v>
      </c>
      <c r="I163" s="523">
        <f>I136</f>
        <v>12500</v>
      </c>
    </row>
    <row r="164" spans="2:9" ht="12.75" customHeight="1" x14ac:dyDescent="0.35">
      <c r="B164" s="551"/>
      <c r="C164" s="1040" t="str">
        <f>'Anexo V - ano 1 a 10 - inicial'!C165</f>
        <v>VEÍCULOS - PERMISSIONÁRIA</v>
      </c>
      <c r="D164" s="1040"/>
      <c r="E164" s="1040"/>
      <c r="F164" s="1040"/>
      <c r="G164" s="1040"/>
      <c r="H164" s="512">
        <f>H144</f>
        <v>0</v>
      </c>
      <c r="I164" s="512">
        <f>I144</f>
        <v>0</v>
      </c>
    </row>
    <row r="165" spans="2:9" ht="12.75" customHeight="1" x14ac:dyDescent="0.35">
      <c r="B165" s="551"/>
      <c r="C165" s="1040" t="str">
        <f>'Anexo V - ano 1 a 10 - inicial'!C166</f>
        <v>OUTROS SISTEMAS - PERMISSIONÁRIA</v>
      </c>
      <c r="D165" s="1040"/>
      <c r="E165" s="1040"/>
      <c r="F165" s="1040"/>
      <c r="G165" s="1040"/>
      <c r="H165" s="517">
        <f>H151</f>
        <v>0</v>
      </c>
      <c r="I165" s="517">
        <f>I151</f>
        <v>0</v>
      </c>
    </row>
    <row r="166" spans="2:9" ht="12.75" customHeight="1" x14ac:dyDescent="0.35">
      <c r="B166" s="551"/>
      <c r="C166" s="1038" t="s">
        <v>265</v>
      </c>
      <c r="D166" s="1038"/>
      <c r="E166" s="1038"/>
      <c r="F166" s="1038"/>
      <c r="G166" s="1038"/>
      <c r="H166" s="484">
        <f>SUM(H157:H165)</f>
        <v>8517639.6726789158</v>
      </c>
      <c r="I166" s="484">
        <f>SUM(I157:I165)</f>
        <v>851763.96726789162</v>
      </c>
    </row>
    <row r="167" spans="2:9" ht="12.75" customHeight="1" x14ac:dyDescent="0.35">
      <c r="B167" s="551"/>
      <c r="C167" s="617"/>
      <c r="D167" s="617"/>
      <c r="E167" s="617"/>
      <c r="F167" s="617"/>
      <c r="G167" s="617"/>
      <c r="H167" s="309"/>
      <c r="I167" s="309"/>
    </row>
    <row r="168" spans="2:9" ht="12.75" customHeight="1" x14ac:dyDescent="0.35">
      <c r="B168" s="551"/>
      <c r="C168" s="617"/>
      <c r="D168" s="617"/>
      <c r="E168" s="617"/>
      <c r="F168" s="617"/>
      <c r="G168" s="617"/>
      <c r="H168" s="309"/>
      <c r="I168" s="309"/>
    </row>
    <row r="169" spans="2:9" ht="12.75" customHeight="1" x14ac:dyDescent="0.25">
      <c r="B169" s="7"/>
      <c r="C169" s="7"/>
      <c r="D169" s="7"/>
      <c r="E169" s="7"/>
      <c r="F169" s="7"/>
      <c r="G169" s="7"/>
      <c r="H169" s="7"/>
      <c r="I169" s="7"/>
    </row>
    <row r="170" spans="2:9" ht="12.75" customHeight="1" x14ac:dyDescent="0.3">
      <c r="B170" s="7"/>
      <c r="C170" s="7"/>
      <c r="D170" s="7"/>
      <c r="E170" s="1053" t="s">
        <v>572</v>
      </c>
      <c r="F170" s="1053"/>
      <c r="G170" s="1053"/>
      <c r="H170" s="1053"/>
      <c r="I170" s="1053"/>
    </row>
    <row r="171" spans="2:9" ht="12.75" customHeight="1" x14ac:dyDescent="0.25">
      <c r="B171" s="7"/>
      <c r="C171" s="7"/>
      <c r="D171" s="7"/>
      <c r="E171" s="42" t="s">
        <v>89</v>
      </c>
      <c r="F171" s="599" t="s">
        <v>544</v>
      </c>
      <c r="G171" s="599" t="s">
        <v>545</v>
      </c>
      <c r="H171" s="599" t="s">
        <v>546</v>
      </c>
      <c r="I171" s="42" t="s">
        <v>281</v>
      </c>
    </row>
    <row r="172" spans="2:9" ht="12.75" customHeight="1" x14ac:dyDescent="0.25">
      <c r="B172" s="7"/>
      <c r="C172" s="7"/>
      <c r="D172" s="7"/>
      <c r="E172" s="42">
        <v>1</v>
      </c>
      <c r="F172" s="30">
        <f>'Anexo V - ano 1 a 10 - inicial'!E173</f>
        <v>0</v>
      </c>
      <c r="G172" s="30">
        <f>'Anexo V - ano 11 a 15'!G172</f>
        <v>0</v>
      </c>
      <c r="H172" s="30">
        <v>0</v>
      </c>
      <c r="I172" s="548">
        <f t="shared" ref="I172" si="30">SUM(F172:H172)</f>
        <v>0</v>
      </c>
    </row>
    <row r="173" spans="2:9" ht="12.75" customHeight="1" x14ac:dyDescent="0.25">
      <c r="B173" s="7"/>
      <c r="C173" s="7"/>
      <c r="D173" s="7"/>
      <c r="E173" s="42">
        <v>2</v>
      </c>
      <c r="F173" s="30">
        <f>'Anexo V - ano 1 a 10 - inicial'!E174</f>
        <v>1195048.6497726331</v>
      </c>
      <c r="G173" s="30">
        <f>'Anexo V - ano 11 a 15'!G173</f>
        <v>0</v>
      </c>
      <c r="H173" s="30">
        <v>0</v>
      </c>
      <c r="I173" s="548">
        <f t="shared" ref="I173:I196" si="31">SUM(F173:H173)</f>
        <v>1195048.6497726331</v>
      </c>
    </row>
    <row r="174" spans="2:9" ht="12.75" customHeight="1" x14ac:dyDescent="0.25">
      <c r="B174" s="7"/>
      <c r="C174" s="7"/>
      <c r="D174" s="7"/>
      <c r="E174" s="42">
        <v>3</v>
      </c>
      <c r="F174" s="30">
        <f>'Anexo V - ano 1 a 10 - inicial'!E175</f>
        <v>3648015.7093178998</v>
      </c>
      <c r="G174" s="30">
        <f>'Anexo V - ano 11 a 15'!G174</f>
        <v>0</v>
      </c>
      <c r="H174" s="30">
        <v>0</v>
      </c>
      <c r="I174" s="548">
        <f t="shared" si="31"/>
        <v>3648015.7093178998</v>
      </c>
    </row>
    <row r="175" spans="2:9" ht="12.75" customHeight="1" x14ac:dyDescent="0.25">
      <c r="B175" s="7"/>
      <c r="C175" s="7"/>
      <c r="D175" s="7"/>
      <c r="E175" s="42">
        <v>4</v>
      </c>
      <c r="F175" s="30">
        <f>'Anexo V - ano 1 a 10 - inicial'!E176</f>
        <v>3648015.7093178998</v>
      </c>
      <c r="G175" s="30">
        <f>'Anexo V - ano 11 a 15'!G175</f>
        <v>0</v>
      </c>
      <c r="H175" s="30">
        <v>0</v>
      </c>
      <c r="I175" s="548">
        <f t="shared" si="31"/>
        <v>3648015.7093178998</v>
      </c>
    </row>
    <row r="176" spans="2:9" ht="12.75" customHeight="1" x14ac:dyDescent="0.25">
      <c r="B176" s="7"/>
      <c r="C176" s="7"/>
      <c r="D176" s="7"/>
      <c r="E176" s="42">
        <v>5</v>
      </c>
      <c r="F176" s="30">
        <f>'Anexo V - ano 1 a 10 - inicial'!E177</f>
        <v>3648015.7093178998</v>
      </c>
      <c r="G176" s="30">
        <f>'Anexo V - ano 11 a 15'!G176</f>
        <v>0</v>
      </c>
      <c r="H176" s="30">
        <v>0</v>
      </c>
      <c r="I176" s="548">
        <f t="shared" si="31"/>
        <v>3648015.7093178998</v>
      </c>
    </row>
    <row r="177" spans="2:9" ht="12.75" customHeight="1" x14ac:dyDescent="0.25">
      <c r="B177" s="7"/>
      <c r="C177" s="7"/>
      <c r="D177" s="7"/>
      <c r="E177" s="42">
        <v>6</v>
      </c>
      <c r="F177" s="30">
        <f>'Anexo V - ano 1 a 10 - inicial'!E178</f>
        <v>3648015.7093178998</v>
      </c>
      <c r="G177" s="30">
        <f>'Anexo V - ano 11 a 15'!G177</f>
        <v>718847.8050636939</v>
      </c>
      <c r="H177" s="30">
        <v>0</v>
      </c>
      <c r="I177" s="548">
        <f t="shared" si="31"/>
        <v>4366863.514381594</v>
      </c>
    </row>
    <row r="178" spans="2:9" ht="12.75" customHeight="1" x14ac:dyDescent="0.25">
      <c r="E178" s="42">
        <v>7</v>
      </c>
      <c r="F178" s="30">
        <f>'Anexo V - ano 1 a 10 - inicial'!E179</f>
        <v>3297235.6621637754</v>
      </c>
      <c r="G178" s="30">
        <f>'Anexo V - ano 11 a 15'!G178</f>
        <v>718847.8050636939</v>
      </c>
      <c r="H178" s="30">
        <v>0</v>
      </c>
      <c r="I178" s="548">
        <f t="shared" si="31"/>
        <v>4016083.4672274692</v>
      </c>
    </row>
    <row r="179" spans="2:9" ht="12.75" customHeight="1" x14ac:dyDescent="0.25">
      <c r="E179" s="42">
        <v>8</v>
      </c>
      <c r="F179" s="30">
        <f>'Anexo V - ano 1 a 10 - inicial'!E180</f>
        <v>2595675.5678555276</v>
      </c>
      <c r="G179" s="30">
        <f>'Anexo V - ano 11 a 15'!G179</f>
        <v>718847.8050636939</v>
      </c>
      <c r="H179" s="30">
        <v>0</v>
      </c>
      <c r="I179" s="548">
        <f t="shared" si="31"/>
        <v>3314523.3729192214</v>
      </c>
    </row>
    <row r="180" spans="2:9" ht="12.75" customHeight="1" x14ac:dyDescent="0.25">
      <c r="E180" s="42">
        <v>9</v>
      </c>
      <c r="F180" s="30">
        <f>'Anexo V - ano 1 a 10 - inicial'!E181</f>
        <v>2595675.5678555276</v>
      </c>
      <c r="G180" s="30">
        <f>'Anexo V - ano 11 a 15'!G180</f>
        <v>718847.8050636939</v>
      </c>
      <c r="H180" s="30">
        <v>0</v>
      </c>
      <c r="I180" s="548">
        <f t="shared" si="31"/>
        <v>3314523.3729192214</v>
      </c>
    </row>
    <row r="181" spans="2:9" ht="12.75" customHeight="1" x14ac:dyDescent="0.25">
      <c r="E181" s="42">
        <v>10</v>
      </c>
      <c r="F181" s="30">
        <f>'Anexo V - ano 1 a 10 - inicial'!E182</f>
        <v>2595675.5678555276</v>
      </c>
      <c r="G181" s="30">
        <f>'Anexo V - ano 11 a 15'!G181</f>
        <v>718847.8050636939</v>
      </c>
      <c r="H181" s="30">
        <v>0</v>
      </c>
      <c r="I181" s="548">
        <f t="shared" si="31"/>
        <v>3314523.3729192214</v>
      </c>
    </row>
    <row r="182" spans="2:9" ht="12.75" customHeight="1" x14ac:dyDescent="0.25">
      <c r="E182" s="42">
        <v>11</v>
      </c>
      <c r="F182" s="30">
        <f>'Anexo V - ano 1 a 10 - inicial'!E183</f>
        <v>2595675.5678555276</v>
      </c>
      <c r="G182" s="30">
        <f>'Anexo V - ano 11 a 15'!G182</f>
        <v>688365.90418542188</v>
      </c>
      <c r="H182" s="30">
        <v>0</v>
      </c>
      <c r="I182" s="548">
        <f t="shared" si="31"/>
        <v>3284041.4720409494</v>
      </c>
    </row>
    <row r="183" spans="2:9" ht="12.75" customHeight="1" x14ac:dyDescent="0.25">
      <c r="E183" s="42">
        <v>12</v>
      </c>
      <c r="F183" s="30">
        <f>'Anexo V - ano 1 a 10 - inicial'!E184</f>
        <v>2346607.024879232</v>
      </c>
      <c r="G183" s="30">
        <f>'Anexo V - ano 11 a 15'!G183</f>
        <v>688365.90418542188</v>
      </c>
      <c r="H183" s="30">
        <v>0</v>
      </c>
      <c r="I183" s="548">
        <f t="shared" si="31"/>
        <v>3034972.9290646538</v>
      </c>
    </row>
    <row r="184" spans="2:9" ht="12.75" customHeight="1" x14ac:dyDescent="0.25">
      <c r="E184" s="42">
        <v>13</v>
      </c>
      <c r="F184" s="30">
        <f>'Anexo V - ano 1 a 10 - inicial'!E185</f>
        <v>1848469.9389266416</v>
      </c>
      <c r="G184" s="30">
        <f>'Anexo V - ano 11 a 15'!G184</f>
        <v>688365.90418542188</v>
      </c>
      <c r="H184" s="30">
        <v>0</v>
      </c>
      <c r="I184" s="548">
        <f t="shared" si="31"/>
        <v>2536835.8431120636</v>
      </c>
    </row>
    <row r="185" spans="2:9" ht="12.75" customHeight="1" x14ac:dyDescent="0.25">
      <c r="E185" s="42">
        <v>14</v>
      </c>
      <c r="F185" s="30">
        <f>'Anexo V - ano 1 a 10 - inicial'!E186</f>
        <v>1848469.9389266416</v>
      </c>
      <c r="G185" s="30">
        <f>'Anexo V - ano 11 a 15'!G185</f>
        <v>688365.90418542188</v>
      </c>
      <c r="H185" s="30">
        <v>0</v>
      </c>
      <c r="I185" s="548">
        <f t="shared" si="31"/>
        <v>2536835.8431120636</v>
      </c>
    </row>
    <row r="186" spans="2:9" ht="12.75" customHeight="1" x14ac:dyDescent="0.25">
      <c r="E186" s="42">
        <v>15</v>
      </c>
      <c r="F186" s="30">
        <f>'Anexo V - ano 1 a 10 - inicial'!E187</f>
        <v>1848469.9389266416</v>
      </c>
      <c r="G186" s="30">
        <f>'Anexo V - ano 11 a 15'!G186</f>
        <v>688365.90418542188</v>
      </c>
      <c r="H186" s="30">
        <v>0</v>
      </c>
      <c r="I186" s="548">
        <f t="shared" si="31"/>
        <v>2536835.8431120636</v>
      </c>
    </row>
    <row r="187" spans="2:9" ht="12.75" customHeight="1" x14ac:dyDescent="0.25">
      <c r="E187" s="42">
        <v>16</v>
      </c>
      <c r="F187" s="30">
        <f>'Anexo V - ano 1 a 10 - inicial'!E188</f>
        <v>1848469.9389266416</v>
      </c>
      <c r="G187" s="30">
        <f>'Anexo V - ano 11 a 15'!G187</f>
        <v>546111.34918174346</v>
      </c>
      <c r="H187" s="478">
        <f>I166</f>
        <v>851763.96726789162</v>
      </c>
      <c r="I187" s="548">
        <f t="shared" si="31"/>
        <v>3246345.2553762766</v>
      </c>
    </row>
    <row r="188" spans="2:9" ht="12.75" customHeight="1" x14ac:dyDescent="0.25">
      <c r="E188" s="42">
        <v>17</v>
      </c>
      <c r="F188" s="30">
        <f>'Anexo V - ano 1 a 10 - inicial'!E189</f>
        <v>1848469.9389266416</v>
      </c>
      <c r="G188" s="30">
        <f>'Anexo V - ano 11 a 15'!G188</f>
        <v>546111.34918174346</v>
      </c>
      <c r="H188" s="478">
        <f>I166</f>
        <v>851763.96726789162</v>
      </c>
      <c r="I188" s="548">
        <f t="shared" si="31"/>
        <v>3246345.2553762766</v>
      </c>
    </row>
    <row r="189" spans="2:9" ht="12.75" customHeight="1" x14ac:dyDescent="0.25">
      <c r="E189" s="42">
        <v>18</v>
      </c>
      <c r="F189" s="30">
        <f>'Anexo V - ano 1 a 10 - inicial'!E190</f>
        <v>1848469.9389266416</v>
      </c>
      <c r="G189" s="30">
        <f>'Anexo V - ano 11 a 15'!G189</f>
        <v>546111.34918174346</v>
      </c>
      <c r="H189" s="478">
        <f>I166</f>
        <v>851763.96726789162</v>
      </c>
      <c r="I189" s="548">
        <f t="shared" si="31"/>
        <v>3246345.2553762766</v>
      </c>
    </row>
    <row r="190" spans="2:9" ht="12.75" customHeight="1" x14ac:dyDescent="0.25">
      <c r="E190" s="42">
        <v>19</v>
      </c>
      <c r="F190" s="30">
        <f>'Anexo V - ano 1 a 10 - inicial'!E191</f>
        <v>1848469.9389266416</v>
      </c>
      <c r="G190" s="30">
        <f>'Anexo V - ano 11 a 15'!G190</f>
        <v>546111.34918174346</v>
      </c>
      <c r="H190" s="478">
        <f>I166</f>
        <v>851763.96726789162</v>
      </c>
      <c r="I190" s="548">
        <f t="shared" si="31"/>
        <v>3246345.2553762766</v>
      </c>
    </row>
    <row r="191" spans="2:9" ht="12.75" customHeight="1" x14ac:dyDescent="0.25">
      <c r="E191" s="42">
        <v>20</v>
      </c>
      <c r="F191" s="30">
        <f>'Anexo V - ano 1 a 10 - inicial'!E192</f>
        <v>1848469.9389266416</v>
      </c>
      <c r="G191" s="30">
        <f>'Anexo V - ano 11 a 15'!G191</f>
        <v>546111.34918174346</v>
      </c>
      <c r="H191" s="478">
        <f>I166</f>
        <v>851763.96726789162</v>
      </c>
      <c r="I191" s="548">
        <f t="shared" si="31"/>
        <v>3246345.2553762766</v>
      </c>
    </row>
    <row r="192" spans="2:9" ht="12.75" customHeight="1" x14ac:dyDescent="0.25">
      <c r="E192" s="42">
        <v>21</v>
      </c>
      <c r="F192" s="30">
        <f>'Anexo V - ano 1 a 10 - inicial'!E193</f>
        <v>1848469.9389266416</v>
      </c>
      <c r="G192" s="30">
        <f>'Anexo V - ano 11 a 15'!G192</f>
        <v>546111.34918174346</v>
      </c>
      <c r="H192" s="478">
        <f>I166</f>
        <v>851763.96726789162</v>
      </c>
      <c r="I192" s="548">
        <f t="shared" si="31"/>
        <v>3246345.2553762766</v>
      </c>
    </row>
    <row r="193" spans="5:9" ht="12.75" customHeight="1" x14ac:dyDescent="0.25">
      <c r="E193" s="42">
        <v>22</v>
      </c>
      <c r="F193" s="30">
        <f>'Anexo V - ano 1 a 10 - inicial'!E194</f>
        <v>1232313.2926177611</v>
      </c>
      <c r="G193" s="30">
        <f>'Anexo V - ano 11 a 15'!G193</f>
        <v>546111.34918174346</v>
      </c>
      <c r="H193" s="478">
        <f>I166</f>
        <v>851763.96726789162</v>
      </c>
      <c r="I193" s="548">
        <f t="shared" si="31"/>
        <v>2630188.6090673963</v>
      </c>
    </row>
    <row r="194" spans="5:9" ht="12.75" customHeight="1" x14ac:dyDescent="0.25">
      <c r="E194" s="42">
        <v>23</v>
      </c>
      <c r="F194" s="30">
        <f>'Anexo V - ano 1 a 10 - inicial'!E195</f>
        <v>0</v>
      </c>
      <c r="G194" s="30">
        <f>'Anexo V - ano 11 a 15'!G194</f>
        <v>546111.34918174346</v>
      </c>
      <c r="H194" s="478">
        <f>I166</f>
        <v>851763.96726789162</v>
      </c>
      <c r="I194" s="548">
        <f t="shared" si="31"/>
        <v>1397875.3164496352</v>
      </c>
    </row>
    <row r="195" spans="5:9" ht="12.75" customHeight="1" x14ac:dyDescent="0.25">
      <c r="E195" s="42">
        <v>24</v>
      </c>
      <c r="F195" s="30">
        <f>'Anexo V - ano 1 a 10 - inicial'!E196</f>
        <v>0</v>
      </c>
      <c r="G195" s="30">
        <f>'Anexo V - ano 11 a 15'!G195</f>
        <v>546111.34918174346</v>
      </c>
      <c r="H195" s="478">
        <f>I166</f>
        <v>851763.96726789162</v>
      </c>
      <c r="I195" s="548">
        <f t="shared" si="31"/>
        <v>1397875.3164496352</v>
      </c>
    </row>
    <row r="196" spans="5:9" ht="12.75" customHeight="1" x14ac:dyDescent="0.25">
      <c r="E196" s="42">
        <v>25</v>
      </c>
      <c r="F196" s="30">
        <f>'Anexo V - ano 1 a 10 - inicial'!E197</f>
        <v>0</v>
      </c>
      <c r="G196" s="30">
        <f>'Anexo V - ano 11 a 15'!G196</f>
        <v>546111.34918174346</v>
      </c>
      <c r="H196" s="478">
        <f>I166</f>
        <v>851763.96726789162</v>
      </c>
      <c r="I196" s="548">
        <f t="shared" si="31"/>
        <v>1397875.3164496352</v>
      </c>
    </row>
  </sheetData>
  <mergeCells count="35">
    <mergeCell ref="C2:I2"/>
    <mergeCell ref="C3:I3"/>
    <mergeCell ref="C4:I4"/>
    <mergeCell ref="C7:D7"/>
    <mergeCell ref="C10:I10"/>
    <mergeCell ref="E7:H7"/>
    <mergeCell ref="F31:G31"/>
    <mergeCell ref="C35:I35"/>
    <mergeCell ref="I47:I49"/>
    <mergeCell ref="C54:I54"/>
    <mergeCell ref="F73:G73"/>
    <mergeCell ref="C78:I78"/>
    <mergeCell ref="F100:G100"/>
    <mergeCell ref="C105:I105"/>
    <mergeCell ref="F113:G113"/>
    <mergeCell ref="C118:I118"/>
    <mergeCell ref="F127:G127"/>
    <mergeCell ref="C132:I132"/>
    <mergeCell ref="F136:G136"/>
    <mergeCell ref="C141:I141"/>
    <mergeCell ref="C147:I147"/>
    <mergeCell ref="F151:G151"/>
    <mergeCell ref="C155:I155"/>
    <mergeCell ref="C156:G156"/>
    <mergeCell ref="C157:G157"/>
    <mergeCell ref="C158:G158"/>
    <mergeCell ref="C164:G164"/>
    <mergeCell ref="C165:G165"/>
    <mergeCell ref="C166:G166"/>
    <mergeCell ref="E170:I170"/>
    <mergeCell ref="C159:G159"/>
    <mergeCell ref="C160:G160"/>
    <mergeCell ref="C161:G161"/>
    <mergeCell ref="C162:G162"/>
    <mergeCell ref="C163:G163"/>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B050"/>
  </sheetPr>
  <dimension ref="B2:AB60"/>
  <sheetViews>
    <sheetView topLeftCell="A6" workbookViewId="0">
      <selection activeCell="C6" sqref="C6"/>
    </sheetView>
  </sheetViews>
  <sheetFormatPr defaultRowHeight="12.5" x14ac:dyDescent="0.25"/>
  <cols>
    <col min="1" max="1" width="2" customWidth="1"/>
    <col min="2" max="2" width="40.7265625" customWidth="1"/>
    <col min="3" max="3" width="11.453125"/>
    <col min="4" max="4" width="14.1796875" bestFit="1" customWidth="1"/>
    <col min="5" max="27" width="12.54296875" customWidth="1"/>
    <col min="28" max="28" width="17.1796875" customWidth="1"/>
    <col min="29" max="29" width="17.7265625" customWidth="1"/>
    <col min="30" max="30" width="2.453125" customWidth="1"/>
    <col min="31" max="31" width="10" customWidth="1"/>
    <col min="32" max="36" width="9.1796875" customWidth="1"/>
    <col min="37" max="1025" width="14.453125" customWidth="1"/>
  </cols>
  <sheetData>
    <row r="2" spans="2:28" ht="15.75" customHeight="1" x14ac:dyDescent="0.35">
      <c r="B2" s="619"/>
      <c r="C2" s="975" t="s">
        <v>70</v>
      </c>
      <c r="D2" s="975"/>
      <c r="E2" s="975"/>
      <c r="F2" s="975"/>
      <c r="G2" s="975"/>
      <c r="H2" s="975"/>
      <c r="I2" s="975"/>
      <c r="J2" s="975"/>
      <c r="K2" s="975"/>
      <c r="L2" s="975"/>
      <c r="M2" s="620"/>
      <c r="N2" s="620"/>
      <c r="O2" s="620"/>
      <c r="P2" s="620"/>
      <c r="Q2" s="620"/>
      <c r="R2" s="620"/>
      <c r="S2" s="620"/>
      <c r="T2" s="620"/>
      <c r="U2" s="620"/>
      <c r="V2" s="620"/>
      <c r="W2" s="620"/>
      <c r="X2" s="620"/>
      <c r="Y2" s="620"/>
      <c r="Z2" s="620"/>
      <c r="AA2" s="620"/>
      <c r="AB2" s="620"/>
    </row>
    <row r="3" spans="2:28" ht="15.75" customHeight="1" x14ac:dyDescent="0.35">
      <c r="B3" s="619"/>
      <c r="C3" s="976" t="s">
        <v>71</v>
      </c>
      <c r="D3" s="976"/>
      <c r="E3" s="976"/>
      <c r="F3" s="976"/>
      <c r="G3" s="976"/>
      <c r="H3" s="976"/>
      <c r="I3" s="976"/>
      <c r="J3" s="976"/>
      <c r="K3" s="976"/>
      <c r="L3" s="976"/>
      <c r="M3" s="620"/>
      <c r="N3" s="620"/>
      <c r="O3" s="620"/>
      <c r="P3" s="620"/>
      <c r="Q3" s="620"/>
      <c r="R3" s="620"/>
      <c r="S3" s="620"/>
      <c r="T3" s="620"/>
      <c r="U3" s="620"/>
      <c r="V3" s="620"/>
      <c r="W3" s="620"/>
      <c r="X3" s="620"/>
      <c r="Y3" s="620"/>
      <c r="Z3" s="620"/>
      <c r="AA3" s="620"/>
      <c r="AB3" s="620"/>
    </row>
    <row r="4" spans="2:28" ht="15.75" customHeight="1" x14ac:dyDescent="0.35">
      <c r="B4" s="619"/>
      <c r="C4" s="977"/>
      <c r="D4" s="977"/>
      <c r="E4" s="977"/>
      <c r="F4" s="977"/>
      <c r="G4" s="977"/>
      <c r="H4" s="977"/>
      <c r="I4" s="977"/>
      <c r="J4" s="977"/>
      <c r="K4" s="977"/>
      <c r="L4" s="977"/>
      <c r="M4" s="620"/>
      <c r="N4" s="620"/>
      <c r="O4" s="620"/>
      <c r="P4" s="620"/>
      <c r="Q4" s="620"/>
      <c r="R4" s="620"/>
      <c r="S4" s="620"/>
      <c r="T4" s="620"/>
      <c r="U4" s="620"/>
      <c r="V4" s="620"/>
      <c r="W4" s="620"/>
      <c r="X4" s="620"/>
      <c r="Y4" s="620"/>
      <c r="Z4" s="620"/>
      <c r="AA4" s="620"/>
      <c r="AB4" s="620"/>
    </row>
    <row r="5" spans="2:28" ht="15.75" customHeight="1" x14ac:dyDescent="0.25">
      <c r="B5" s="619"/>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row>
    <row r="6" spans="2:28" ht="15.75" customHeight="1" x14ac:dyDescent="0.25">
      <c r="B6" s="619"/>
      <c r="C6" s="620"/>
      <c r="D6" s="620"/>
      <c r="E6" s="620"/>
      <c r="F6" s="620"/>
      <c r="G6" s="620"/>
      <c r="H6" s="620"/>
      <c r="I6" s="620"/>
      <c r="J6" s="620"/>
      <c r="K6" s="620"/>
      <c r="L6" s="620"/>
      <c r="M6" s="620"/>
      <c r="N6" s="620"/>
      <c r="O6" s="620"/>
      <c r="P6" s="620"/>
      <c r="Q6" s="620"/>
      <c r="R6" s="620"/>
      <c r="S6" s="620"/>
      <c r="T6" s="620"/>
      <c r="U6" s="620"/>
      <c r="V6" s="620"/>
      <c r="W6" s="620"/>
      <c r="X6" s="620"/>
      <c r="Y6" s="620"/>
      <c r="Z6" s="620"/>
      <c r="AA6" s="620"/>
      <c r="AB6" s="620"/>
    </row>
    <row r="7" spans="2:28" ht="23.25" customHeight="1" x14ac:dyDescent="0.35">
      <c r="B7" s="1058" t="s">
        <v>573</v>
      </c>
      <c r="C7" s="1058"/>
      <c r="D7" s="1058"/>
      <c r="E7" s="1058"/>
      <c r="F7" s="1058"/>
      <c r="G7" s="1058"/>
      <c r="H7" s="620"/>
      <c r="I7" s="620"/>
      <c r="J7" s="620"/>
      <c r="K7" s="620"/>
      <c r="L7" s="620"/>
      <c r="M7" s="620"/>
      <c r="N7" s="620"/>
      <c r="O7" s="620"/>
      <c r="P7" s="620"/>
      <c r="Q7" s="620"/>
      <c r="R7" s="620"/>
      <c r="S7" s="620"/>
      <c r="T7" s="620"/>
      <c r="U7" s="620"/>
      <c r="V7" s="620"/>
      <c r="W7" s="620"/>
      <c r="X7" s="620"/>
      <c r="Y7" s="620"/>
      <c r="Z7" s="620"/>
      <c r="AA7" s="620"/>
      <c r="AB7" s="620"/>
    </row>
    <row r="8" spans="2:28" ht="29.25" customHeight="1" x14ac:dyDescent="0.35">
      <c r="B8" s="621"/>
      <c r="C8" s="621"/>
      <c r="D8" s="621"/>
      <c r="E8" s="621"/>
      <c r="F8" s="621"/>
      <c r="G8" s="621"/>
      <c r="H8" s="620"/>
      <c r="I8" s="620"/>
      <c r="J8" s="620"/>
      <c r="K8" s="620"/>
      <c r="L8" s="620"/>
      <c r="M8" s="620"/>
      <c r="N8" s="620"/>
      <c r="O8" s="620"/>
      <c r="P8" s="620"/>
      <c r="Q8" s="620"/>
      <c r="R8" s="620"/>
      <c r="S8" s="620"/>
      <c r="T8" s="620"/>
      <c r="U8" s="620"/>
      <c r="V8" s="620"/>
      <c r="W8" s="620"/>
      <c r="X8" s="620"/>
      <c r="Y8" s="620"/>
      <c r="Z8" s="620"/>
      <c r="AA8" s="620"/>
      <c r="AB8" s="620"/>
    </row>
    <row r="9" spans="2:28" ht="15.75" customHeight="1" x14ac:dyDescent="0.25">
      <c r="B9" s="619"/>
      <c r="C9" s="620"/>
      <c r="D9" s="620"/>
      <c r="E9" s="620"/>
      <c r="F9" s="620"/>
      <c r="G9" s="620"/>
      <c r="H9" s="620"/>
      <c r="I9" s="620"/>
      <c r="J9" s="620"/>
      <c r="K9" s="620"/>
      <c r="L9" s="620"/>
      <c r="M9" s="620"/>
      <c r="N9" s="620"/>
      <c r="O9" s="620"/>
      <c r="P9" s="620"/>
      <c r="Q9" s="620"/>
      <c r="R9" s="620"/>
      <c r="S9" s="620"/>
      <c r="T9" s="620"/>
      <c r="U9" s="620"/>
      <c r="V9" s="620"/>
      <c r="W9" s="620"/>
      <c r="X9" s="620"/>
      <c r="Y9" s="620"/>
      <c r="Z9" s="620"/>
      <c r="AA9" s="620"/>
      <c r="AB9" s="620"/>
    </row>
    <row r="10" spans="2:28" ht="47.25" customHeight="1" x14ac:dyDescent="0.25">
      <c r="B10" s="622" t="s">
        <v>574</v>
      </c>
      <c r="C10" s="623">
        <v>1</v>
      </c>
      <c r="D10" s="623">
        <v>2</v>
      </c>
      <c r="E10" s="623">
        <f>+D10+1</f>
        <v>3</v>
      </c>
      <c r="F10" s="623">
        <f>+E10+1</f>
        <v>4</v>
      </c>
      <c r="G10" s="623">
        <v>5</v>
      </c>
      <c r="H10" s="623">
        <f>+G10+1</f>
        <v>6</v>
      </c>
      <c r="I10" s="623">
        <f>+H10+1</f>
        <v>7</v>
      </c>
      <c r="J10" s="623">
        <f>+I10+1</f>
        <v>8</v>
      </c>
      <c r="K10" s="623">
        <v>9</v>
      </c>
      <c r="L10" s="623">
        <v>10</v>
      </c>
      <c r="M10" s="623">
        <f t="shared" ref="M10:Y10" si="0">+L10+1</f>
        <v>11</v>
      </c>
      <c r="N10" s="623">
        <f t="shared" si="0"/>
        <v>12</v>
      </c>
      <c r="O10" s="623">
        <f t="shared" si="0"/>
        <v>13</v>
      </c>
      <c r="P10" s="623">
        <f t="shared" si="0"/>
        <v>14</v>
      </c>
      <c r="Q10" s="623">
        <f t="shared" si="0"/>
        <v>15</v>
      </c>
      <c r="R10" s="623">
        <f t="shared" si="0"/>
        <v>16</v>
      </c>
      <c r="S10" s="623">
        <f t="shared" si="0"/>
        <v>17</v>
      </c>
      <c r="T10" s="623">
        <f t="shared" si="0"/>
        <v>18</v>
      </c>
      <c r="U10" s="623">
        <f t="shared" si="0"/>
        <v>19</v>
      </c>
      <c r="V10" s="623">
        <f t="shared" si="0"/>
        <v>20</v>
      </c>
      <c r="W10" s="623">
        <f t="shared" si="0"/>
        <v>21</v>
      </c>
      <c r="X10" s="623">
        <f t="shared" si="0"/>
        <v>22</v>
      </c>
      <c r="Y10" s="623">
        <f t="shared" si="0"/>
        <v>23</v>
      </c>
      <c r="Z10" s="623">
        <v>24</v>
      </c>
      <c r="AA10" s="623">
        <v>25</v>
      </c>
      <c r="AB10" s="623" t="s">
        <v>281</v>
      </c>
    </row>
    <row r="11" spans="2:28" ht="47.25" customHeight="1" x14ac:dyDescent="0.25">
      <c r="B11" s="624" t="s">
        <v>575</v>
      </c>
      <c r="C11" s="625">
        <f>'Memória_custos e despesas'!C11</f>
        <v>0</v>
      </c>
      <c r="D11" s="625">
        <f>'Memória_custos e despesas'!D11</f>
        <v>5833682.8992190696</v>
      </c>
      <c r="E11" s="625">
        <f>'Memória_custos e despesas'!E11</f>
        <v>11863374.270928459</v>
      </c>
      <c r="F11" s="625">
        <f>'Memória_custos e despesas'!F11</f>
        <v>12036827.311362624</v>
      </c>
      <c r="G11" s="625">
        <f>'Memória_custos e despesas'!G11</f>
        <v>12213055.600443738</v>
      </c>
      <c r="H11" s="625">
        <f>'Memória_custos e despesas'!H11</f>
        <v>12392103.542150147</v>
      </c>
      <c r="I11" s="625">
        <f>'Memória_custos e despesas'!I11</f>
        <v>12574016.250923857</v>
      </c>
      <c r="J11" s="625">
        <f>'Memória_custos e despesas'!J11</f>
        <v>12758839.563037951</v>
      </c>
      <c r="K11" s="625">
        <f>'Memória_custos e despesas'!K11</f>
        <v>12946620.04814587</v>
      </c>
      <c r="L11" s="625">
        <f>'Memória_custos e despesas'!L11</f>
        <v>13137405.02101551</v>
      </c>
      <c r="M11" s="625">
        <f>'Memória_custos e despesas'!M11</f>
        <v>13663654.418451067</v>
      </c>
      <c r="N11" s="625">
        <f>'Memória_custos e despesas'!N11</f>
        <v>13860593.351405594</v>
      </c>
      <c r="O11" s="625">
        <f>'Memória_custos e despesas'!O11</f>
        <v>14060683.307287395</v>
      </c>
      <c r="P11" s="625">
        <f>'Memória_custos e despesas'!P11</f>
        <v>14263974.702463303</v>
      </c>
      <c r="Q11" s="625">
        <f>'Memória_custos e despesas'!Q11</f>
        <v>14710420.839962024</v>
      </c>
      <c r="R11" s="625">
        <f>'Memória_custos e despesas'!R11</f>
        <v>14941358.177380728</v>
      </c>
      <c r="S11" s="625">
        <f>'Memória_custos e despesas'!S11</f>
        <v>15154564.519998131</v>
      </c>
      <c r="T11" s="625">
        <f>'Memória_custos e despesas'!T11</f>
        <v>15371182.164097412</v>
      </c>
      <c r="U11" s="625">
        <f>'Memória_custos e despesas'!U11</f>
        <v>15591265.690502279</v>
      </c>
      <c r="V11" s="625">
        <f>'Memória_custos e despesas'!V11</f>
        <v>15814870.553329628</v>
      </c>
      <c r="W11" s="625">
        <f>'Memória_custos e despesas'!W11</f>
        <v>16042053.093962211</v>
      </c>
      <c r="X11" s="625">
        <f>'Memória_custos e despesas'!X11</f>
        <v>16272870.555244921</v>
      </c>
      <c r="Y11" s="625">
        <f>'Memória_custos e despesas'!Y11</f>
        <v>16507381.095908146</v>
      </c>
      <c r="Z11" s="625">
        <f>'Memória_custos e despesas'!Z11</f>
        <v>16745643.805221986</v>
      </c>
      <c r="AA11" s="625">
        <f>'Memória_custos e despesas'!AA11</f>
        <v>16987718.717884853</v>
      </c>
      <c r="AB11" s="626">
        <f>SUM(C11:AA11)</f>
        <v>335744159.50032687</v>
      </c>
    </row>
    <row r="12" spans="2:28" ht="47.25" customHeight="1" x14ac:dyDescent="0.25">
      <c r="B12" s="624" t="s">
        <v>576</v>
      </c>
      <c r="C12" s="625">
        <f>'Memória-custo MO'!F47</f>
        <v>0</v>
      </c>
      <c r="D12" s="625">
        <f>'Memória-custo MO'!I47</f>
        <v>792367.92965399998</v>
      </c>
      <c r="E12" s="625">
        <f>'Memória-custo MO'!L47</f>
        <v>1652808.7041479999</v>
      </c>
      <c r="F12" s="625">
        <f>'Memória-custo MO'!O47</f>
        <v>1652808.7041479999</v>
      </c>
      <c r="G12" s="625">
        <f>'Memória-custo MO'!R47</f>
        <v>1652808.7041479999</v>
      </c>
      <c r="H12" s="625">
        <f>'Memória-custo MO'!X47</f>
        <v>1652808.7041479999</v>
      </c>
      <c r="I12" s="625">
        <f>'Memória-custo MO'!AA47</f>
        <v>1652808.7041479999</v>
      </c>
      <c r="J12" s="625">
        <f>'Memória-custo MO'!AD47</f>
        <v>1652808.7041479999</v>
      </c>
      <c r="K12" s="625">
        <f>'Memória-custo MO'!AG47</f>
        <v>2154105.5171640003</v>
      </c>
      <c r="L12" s="625">
        <f>'Memória-custo MO'!AG47</f>
        <v>2154105.5171640003</v>
      </c>
      <c r="M12" s="625">
        <f>'Memória-custo MO'!AM47</f>
        <v>2154105.5171640003</v>
      </c>
      <c r="N12" s="625">
        <f>'Memória-custo MO'!AP47</f>
        <v>2154105.5171640003</v>
      </c>
      <c r="O12" s="625">
        <f>'Memória-custo MO'!AS47</f>
        <v>2154105.5171640003</v>
      </c>
      <c r="P12" s="625">
        <f>'Memória-custo MO'!AV47</f>
        <v>2255117.7795360005</v>
      </c>
      <c r="Q12" s="625">
        <f>'Memória-custo MO'!AV47</f>
        <v>2255117.7795360005</v>
      </c>
      <c r="R12" s="625">
        <f>'Memória-custo MO'!AY47</f>
        <v>2255117.7795360005</v>
      </c>
      <c r="S12" s="625">
        <f>'Memória-custo MO'!BE47</f>
        <v>2255117.7795360005</v>
      </c>
      <c r="T12" s="625">
        <f>'Memória-custo MO'!BH47</f>
        <v>2255117.7795360005</v>
      </c>
      <c r="U12" s="625">
        <f>'Memória-custo MO'!BK47</f>
        <v>2255117.7795360005</v>
      </c>
      <c r="V12" s="625">
        <f>'Memória-custo MO'!BN47</f>
        <v>2255117.7795360005</v>
      </c>
      <c r="W12" s="625">
        <f>'Memória-custo MO'!BQ47</f>
        <v>2255117.7795360005</v>
      </c>
      <c r="X12" s="625">
        <f>'Memória-custo MO'!BT47</f>
        <v>2255117.7795360005</v>
      </c>
      <c r="Y12" s="625">
        <f>'Memória-custo MO'!BW47</f>
        <v>2255117.7795360005</v>
      </c>
      <c r="Z12" s="625">
        <f>Y12</f>
        <v>2255117.7795360005</v>
      </c>
      <c r="AA12" s="625">
        <f>'Memória-custo MO'!BZ47</f>
        <v>2255117.7795360005</v>
      </c>
      <c r="AB12" s="626">
        <f>SUM(C12:AA12)</f>
        <v>48541161.094794013</v>
      </c>
    </row>
    <row r="13" spans="2:28" ht="47.25" customHeight="1" x14ac:dyDescent="0.25">
      <c r="B13" s="624" t="s">
        <v>577</v>
      </c>
      <c r="C13" s="625">
        <f>'Memória-custo MO'!F26</f>
        <v>0</v>
      </c>
      <c r="D13" s="625">
        <f>'Memória-custo MO'!I26</f>
        <v>2437416.7984740003</v>
      </c>
      <c r="E13" s="625">
        <f>'Memória-custo MO'!L26</f>
        <v>4874833.5969480006</v>
      </c>
      <c r="F13" s="625">
        <f>'Memória-custo MO'!O26</f>
        <v>4874833.5969480006</v>
      </c>
      <c r="G13" s="625">
        <f>'Memória-custo MO'!U26</f>
        <v>4874833.5969480006</v>
      </c>
      <c r="H13" s="625">
        <f>'Memória-custo MO'!X26</f>
        <v>4874833.5969480006</v>
      </c>
      <c r="I13" s="625">
        <f>'Memória-custo MO'!AA26</f>
        <v>4874833.5969480006</v>
      </c>
      <c r="J13" s="625">
        <f>'Memória-custo MO'!AD26</f>
        <v>4874833.5969480006</v>
      </c>
      <c r="K13" s="625">
        <f>'Memória-custo MO'!AG26</f>
        <v>4991405.7549360003</v>
      </c>
      <c r="L13" s="625">
        <f>J13</f>
        <v>4874833.5969480006</v>
      </c>
      <c r="M13" s="625">
        <f>'Memória-custo MO'!AM26</f>
        <v>4991405.7549360003</v>
      </c>
      <c r="N13" s="625">
        <f>'Memória-custo MO'!AP26</f>
        <v>4991405.7549360003</v>
      </c>
      <c r="O13" s="625">
        <f>'Memória-custo MO'!AS26</f>
        <v>5041111.1665440006</v>
      </c>
      <c r="P13" s="625">
        <f>'Memória-custo MO'!AV26</f>
        <v>5041111.1665440006</v>
      </c>
      <c r="Q13" s="625">
        <f>'Memória-custo MO'!AY26</f>
        <v>5041111.1665440006</v>
      </c>
      <c r="R13" s="625">
        <f>'Memória-custo MO'!BB26</f>
        <v>5041111.1665440006</v>
      </c>
      <c r="S13" s="625">
        <f>'Memória-custo MO'!BE26</f>
        <v>5041111.1665440006</v>
      </c>
      <c r="T13" s="625">
        <f>'Memória-custo MO'!BH26</f>
        <v>5041111.1665440006</v>
      </c>
      <c r="U13" s="625">
        <f>'Memória-custo MO'!BK26</f>
        <v>5041111.1665440006</v>
      </c>
      <c r="V13" s="625">
        <f>'Memória-custo MO'!BN26</f>
        <v>5041111.1665440006</v>
      </c>
      <c r="W13" s="625">
        <f>'Memória-custo MO'!BQ26</f>
        <v>5041111.1665440006</v>
      </c>
      <c r="X13" s="625">
        <f>'Memória-custo MO'!BT26</f>
        <v>5041111.1665440006</v>
      </c>
      <c r="Y13" s="625">
        <f>'Memória-custo MO'!BW26</f>
        <v>5041111.1665440006</v>
      </c>
      <c r="Z13" s="625">
        <f>Y13</f>
        <v>5041111.1665440006</v>
      </c>
      <c r="AA13" s="625">
        <f>'Memória-custo MO'!BZ26</f>
        <v>5041111.1665440006</v>
      </c>
      <c r="AB13" s="627">
        <f>SUM(C13:AA13)</f>
        <v>117069914.40699005</v>
      </c>
    </row>
    <row r="14" spans="2:28" ht="47.25" customHeight="1" x14ac:dyDescent="0.25">
      <c r="B14" s="624" t="s">
        <v>578</v>
      </c>
      <c r="C14" s="625">
        <f>'Memória_custos e despesas'!C15</f>
        <v>4860418.461283504</v>
      </c>
      <c r="D14" s="625">
        <f>'Memória_custos e despesas'!D15</f>
        <v>9006629.3142148331</v>
      </c>
      <c r="E14" s="625">
        <f>'Memória_custos e despesas'!E15</f>
        <v>12831206.397772923</v>
      </c>
      <c r="F14" s="625">
        <f>'Memória_custos e despesas'!F15</f>
        <v>12831206.397772923</v>
      </c>
      <c r="G14" s="625">
        <f>'Memória_custos e despesas'!G15</f>
        <v>12831206.397772923</v>
      </c>
      <c r="H14" s="625">
        <f>'Memória_custos e despesas'!I15</f>
        <v>12856496.584624134</v>
      </c>
      <c r="I14" s="625">
        <f>'Memória_custos e despesas'!J15</f>
        <v>12856496.584624134</v>
      </c>
      <c r="J14" s="625">
        <f>'Memória_custos e despesas'!K15</f>
        <v>12856496.584624134</v>
      </c>
      <c r="K14" s="625">
        <f>'Memória_custos e despesas'!L15</f>
        <v>12856496.584624134</v>
      </c>
      <c r="L14" s="625">
        <f>'Memória_custos e despesas'!L15</f>
        <v>12856496.584624134</v>
      </c>
      <c r="M14" s="625">
        <f>'Memória_custos e despesas'!N15</f>
        <v>13676806.257672861</v>
      </c>
      <c r="N14" s="625">
        <f>'Memória_custos e despesas'!O15</f>
        <v>13676806.257672861</v>
      </c>
      <c r="O14" s="625">
        <f>'Memória_custos e despesas'!P15</f>
        <v>13676806.257672861</v>
      </c>
      <c r="P14" s="625">
        <f>'Memória_custos e despesas'!Q15</f>
        <v>13676806.257672861</v>
      </c>
      <c r="Q14" s="625">
        <f>'Memória_custos e despesas'!Q15</f>
        <v>13676806.257672861</v>
      </c>
      <c r="R14" s="625">
        <f>'Memória_custos e despesas'!S15</f>
        <v>14211228.432860576</v>
      </c>
      <c r="S14" s="625">
        <f>'Memória_custos e despesas'!T15</f>
        <v>14211228.432860576</v>
      </c>
      <c r="T14" s="625">
        <f>'Memória_custos e despesas'!U15</f>
        <v>14211228.432860576</v>
      </c>
      <c r="U14" s="625">
        <f>'Memória_custos e despesas'!V15</f>
        <v>14211228.432860576</v>
      </c>
      <c r="V14" s="625">
        <f>'Memória_custos e despesas'!W15</f>
        <v>14211228.432860576</v>
      </c>
      <c r="W14" s="625">
        <f>'Memória_custos e despesas'!X15</f>
        <v>14211228.432860576</v>
      </c>
      <c r="X14" s="625">
        <f>'Memória_custos e despesas'!Y15</f>
        <v>14211228.432860576</v>
      </c>
      <c r="Y14" s="625">
        <f>'Memória_custos e despesas'!Z15</f>
        <v>14211228.432860576</v>
      </c>
      <c r="Z14" s="625">
        <f>Y14</f>
        <v>14211228.432860576</v>
      </c>
      <c r="AA14" s="625">
        <f>'Memória_custos e despesas'!AA15</f>
        <v>14211228.432860576</v>
      </c>
      <c r="AB14" s="626">
        <f>SUM(C14:AA14)</f>
        <v>327139465.50890779</v>
      </c>
    </row>
    <row r="15" spans="2:28" ht="47.25" customHeight="1" x14ac:dyDescent="0.25">
      <c r="B15" s="628" t="s">
        <v>265</v>
      </c>
      <c r="C15" s="629">
        <f t="shared" ref="C15:AB15" si="1">SUM(C11:C14)</f>
        <v>4860418.461283504</v>
      </c>
      <c r="D15" s="629">
        <f t="shared" si="1"/>
        <v>18070096.941561904</v>
      </c>
      <c r="E15" s="629">
        <f t="shared" si="1"/>
        <v>31222222.969797384</v>
      </c>
      <c r="F15" s="629">
        <f t="shared" si="1"/>
        <v>31395676.010231547</v>
      </c>
      <c r="G15" s="629">
        <f t="shared" si="1"/>
        <v>31571904.299312662</v>
      </c>
      <c r="H15" s="629">
        <f t="shared" si="1"/>
        <v>31776242.427870281</v>
      </c>
      <c r="I15" s="629">
        <f t="shared" si="1"/>
        <v>31958155.136643991</v>
      </c>
      <c r="J15" s="629">
        <f t="shared" si="1"/>
        <v>32142978.448758084</v>
      </c>
      <c r="K15" s="629">
        <f t="shared" si="1"/>
        <v>32948627.904870003</v>
      </c>
      <c r="L15" s="629">
        <f t="shared" si="1"/>
        <v>33022840.719751645</v>
      </c>
      <c r="M15" s="629">
        <f t="shared" si="1"/>
        <v>34485971.948223926</v>
      </c>
      <c r="N15" s="629">
        <f t="shared" si="1"/>
        <v>34682910.881178454</v>
      </c>
      <c r="O15" s="629">
        <f t="shared" si="1"/>
        <v>34932706.248668253</v>
      </c>
      <c r="P15" s="629">
        <f t="shared" si="1"/>
        <v>35237009.906216167</v>
      </c>
      <c r="Q15" s="629">
        <f t="shared" si="1"/>
        <v>35683456.043714888</v>
      </c>
      <c r="R15" s="629">
        <f t="shared" si="1"/>
        <v>36448815.556321308</v>
      </c>
      <c r="S15" s="629">
        <f t="shared" si="1"/>
        <v>36662021.898938708</v>
      </c>
      <c r="T15" s="629">
        <f t="shared" si="1"/>
        <v>36878639.543037988</v>
      </c>
      <c r="U15" s="629">
        <f t="shared" si="1"/>
        <v>37098723.069442853</v>
      </c>
      <c r="V15" s="629">
        <f t="shared" si="1"/>
        <v>37322327.932270207</v>
      </c>
      <c r="W15" s="629">
        <f t="shared" si="1"/>
        <v>37549510.47290279</v>
      </c>
      <c r="X15" s="629">
        <f t="shared" si="1"/>
        <v>37780327.934185497</v>
      </c>
      <c r="Y15" s="629">
        <f t="shared" si="1"/>
        <v>38014838.474848725</v>
      </c>
      <c r="Z15" s="629">
        <f t="shared" si="1"/>
        <v>38253101.184162565</v>
      </c>
      <c r="AA15" s="629">
        <f t="shared" si="1"/>
        <v>38495176.096825436</v>
      </c>
      <c r="AB15" s="629">
        <f t="shared" si="1"/>
        <v>828494700.51101875</v>
      </c>
    </row>
    <row r="16" spans="2:28" ht="47.25" customHeight="1" x14ac:dyDescent="0.25">
      <c r="B16" s="630"/>
      <c r="C16" s="631"/>
      <c r="D16" s="631"/>
      <c r="E16" s="631"/>
      <c r="F16" s="631"/>
      <c r="G16" s="631"/>
      <c r="H16" s="631"/>
      <c r="I16" s="631"/>
      <c r="J16" s="631"/>
      <c r="K16" s="631"/>
      <c r="L16" s="631"/>
      <c r="M16" s="631"/>
      <c r="N16" s="631"/>
      <c r="O16" s="631"/>
      <c r="P16" s="631"/>
      <c r="Q16" s="631"/>
      <c r="R16" s="631"/>
      <c r="S16" s="631"/>
      <c r="T16" s="631"/>
      <c r="U16" s="631"/>
      <c r="V16" s="631"/>
      <c r="W16" s="631"/>
      <c r="X16" s="631"/>
      <c r="Y16" s="631"/>
      <c r="Z16" s="631"/>
      <c r="AA16" s="631"/>
      <c r="AB16" s="631"/>
    </row>
    <row r="17" spans="3:3" ht="15.75" customHeight="1" x14ac:dyDescent="0.25">
      <c r="C17" s="632"/>
    </row>
    <row r="18" spans="3:3" ht="15.75" customHeight="1" x14ac:dyDescent="0.25">
      <c r="C18" s="620"/>
    </row>
    <row r="19" spans="3:3" ht="15.75" customHeight="1" x14ac:dyDescent="0.25">
      <c r="C19" s="618"/>
    </row>
    <row r="20" spans="3:3" ht="15.75" customHeight="1" x14ac:dyDescent="0.25">
      <c r="C20" s="618"/>
    </row>
    <row r="21" spans="3:3" ht="15.75" customHeight="1" x14ac:dyDescent="0.25">
      <c r="C21" s="618"/>
    </row>
    <row r="22" spans="3:3" ht="15.75" customHeight="1" x14ac:dyDescent="0.25">
      <c r="C22" s="633"/>
    </row>
    <row r="23" spans="3:3" ht="15.75" customHeight="1" x14ac:dyDescent="0.25">
      <c r="C23" s="633"/>
    </row>
    <row r="24" spans="3:3" ht="15.75" customHeight="1" x14ac:dyDescent="0.25">
      <c r="C24" s="633"/>
    </row>
    <row r="25" spans="3:3" ht="15.75" customHeight="1" x14ac:dyDescent="0.25">
      <c r="C25" s="633"/>
    </row>
    <row r="26" spans="3:3" ht="15.75" customHeight="1" x14ac:dyDescent="0.25">
      <c r="C26" s="633"/>
    </row>
    <row r="27" spans="3:3" ht="15.75" customHeight="1" x14ac:dyDescent="0.25">
      <c r="C27" s="633"/>
    </row>
    <row r="28" spans="3:3" ht="15.75" customHeight="1" x14ac:dyDescent="0.25">
      <c r="C28" s="633"/>
    </row>
    <row r="29" spans="3:3" ht="15.75" customHeight="1" x14ac:dyDescent="0.25">
      <c r="C29" s="633"/>
    </row>
    <row r="30" spans="3:3" ht="15.75" customHeight="1" x14ac:dyDescent="0.25">
      <c r="C30" s="633"/>
    </row>
    <row r="31" spans="3:3" ht="15.75" customHeight="1" x14ac:dyDescent="0.25">
      <c r="C31" s="633"/>
    </row>
    <row r="32" spans="3:3" ht="15.75" customHeight="1" x14ac:dyDescent="0.25">
      <c r="C32" s="633"/>
    </row>
    <row r="33" spans="3:3" ht="15.75" customHeight="1" x14ac:dyDescent="0.25">
      <c r="C33" s="633"/>
    </row>
    <row r="34" spans="3:3" ht="15.75" customHeight="1" x14ac:dyDescent="0.25">
      <c r="C34" s="633"/>
    </row>
    <row r="35" spans="3:3" ht="15.75" customHeight="1" x14ac:dyDescent="0.25">
      <c r="C35" s="633"/>
    </row>
    <row r="36" spans="3:3" ht="15.75" customHeight="1" x14ac:dyDescent="0.25">
      <c r="C36" s="633"/>
    </row>
    <row r="37" spans="3:3" ht="15.75" customHeight="1" x14ac:dyDescent="0.25">
      <c r="C37" s="633"/>
    </row>
    <row r="38" spans="3:3" ht="15.75" customHeight="1" x14ac:dyDescent="0.25">
      <c r="C38" s="633"/>
    </row>
    <row r="39" spans="3:3" ht="15.75" customHeight="1" x14ac:dyDescent="0.25">
      <c r="C39" s="633"/>
    </row>
    <row r="40" spans="3:3" ht="15.75" customHeight="1" x14ac:dyDescent="0.25">
      <c r="C40" s="633"/>
    </row>
    <row r="41" spans="3:3" ht="15.75" customHeight="1" x14ac:dyDescent="0.25">
      <c r="C41" s="633"/>
    </row>
    <row r="42" spans="3:3" ht="15.75" customHeight="1" x14ac:dyDescent="0.25">
      <c r="C42" s="633"/>
    </row>
    <row r="43" spans="3:3" ht="15.75" customHeight="1" x14ac:dyDescent="0.25">
      <c r="C43" s="633"/>
    </row>
    <row r="44" spans="3:3" ht="15.75" customHeight="1" x14ac:dyDescent="0.25">
      <c r="C44" s="633"/>
    </row>
    <row r="45" spans="3:3" ht="15.75" customHeight="1" x14ac:dyDescent="0.25">
      <c r="C45" s="633"/>
    </row>
    <row r="46" spans="3:3" ht="15.75" customHeight="1" x14ac:dyDescent="0.25">
      <c r="C46" s="633"/>
    </row>
    <row r="47" spans="3:3" ht="15.75" customHeight="1" x14ac:dyDescent="0.25">
      <c r="C47" s="633"/>
    </row>
    <row r="48" spans="3:3" ht="15.75" customHeight="1" x14ac:dyDescent="0.25">
      <c r="C48" s="633"/>
    </row>
    <row r="49" spans="3:3" ht="15.75" customHeight="1" x14ac:dyDescent="0.25">
      <c r="C49" s="633"/>
    </row>
    <row r="50" spans="3:3" ht="15.75" customHeight="1" x14ac:dyDescent="0.25">
      <c r="C50" s="633"/>
    </row>
    <row r="51" spans="3:3" ht="15.75" customHeight="1" x14ac:dyDescent="0.25">
      <c r="C51" s="633"/>
    </row>
    <row r="52" spans="3:3" ht="15.75" customHeight="1" x14ac:dyDescent="0.25">
      <c r="C52" s="633"/>
    </row>
    <row r="53" spans="3:3" ht="15.75" customHeight="1" x14ac:dyDescent="0.25">
      <c r="C53" s="633"/>
    </row>
    <row r="54" spans="3:3" ht="15.75" customHeight="1" x14ac:dyDescent="0.25">
      <c r="C54" s="633"/>
    </row>
    <row r="55" spans="3:3" ht="15.75" customHeight="1" x14ac:dyDescent="0.25">
      <c r="C55" s="633"/>
    </row>
    <row r="56" spans="3:3" ht="15.75" customHeight="1" x14ac:dyDescent="0.25">
      <c r="C56" s="633"/>
    </row>
    <row r="57" spans="3:3" ht="15.75" customHeight="1" x14ac:dyDescent="0.25">
      <c r="C57" s="633"/>
    </row>
    <row r="58" spans="3:3" ht="15.75" customHeight="1" x14ac:dyDescent="0.25">
      <c r="C58" s="633"/>
    </row>
    <row r="59" spans="3:3" ht="15.75" customHeight="1" x14ac:dyDescent="0.25">
      <c r="C59" s="633"/>
    </row>
    <row r="60" spans="3:3" ht="15.75" customHeight="1" x14ac:dyDescent="0.25">
      <c r="C60" s="633"/>
    </row>
  </sheetData>
  <mergeCells count="4">
    <mergeCell ref="C2:L2"/>
    <mergeCell ref="C3:L3"/>
    <mergeCell ref="C4:L4"/>
    <mergeCell ref="B7:G7"/>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N19"/>
  <sheetViews>
    <sheetView workbookViewId="0">
      <selection activeCell="J1" sqref="J1"/>
    </sheetView>
  </sheetViews>
  <sheetFormatPr defaultRowHeight="12.5" x14ac:dyDescent="0.25"/>
  <cols>
    <col min="1" max="1" width="9.1796875" customWidth="1"/>
    <col min="2" max="2" width="16.81640625" customWidth="1"/>
    <col min="3" max="3" width="17.7265625" customWidth="1"/>
    <col min="4" max="4" width="16.26953125" customWidth="1"/>
    <col min="5" max="5" width="17.54296875" customWidth="1"/>
    <col min="6" max="6" width="14.7265625" customWidth="1"/>
    <col min="7" max="7" width="10.81640625" style="1" bestFit="1" customWidth="1"/>
    <col min="8" max="8" width="17.54296875" customWidth="1"/>
    <col min="9" max="9" width="17.81640625" customWidth="1"/>
    <col min="10" max="11" width="9.54296875" customWidth="1"/>
    <col min="12" max="12" width="14.7265625" customWidth="1"/>
    <col min="13" max="13" width="9.7265625" bestFit="1" customWidth="1"/>
    <col min="14" max="1025" width="9.1796875" customWidth="1"/>
  </cols>
  <sheetData>
    <row r="1" spans="1:14" ht="17.5" x14ac:dyDescent="0.25">
      <c r="A1" s="943" t="s">
        <v>55</v>
      </c>
      <c r="B1" s="943"/>
      <c r="C1" s="943"/>
      <c r="D1" s="943"/>
    </row>
    <row r="2" spans="1:14" ht="35.25" customHeight="1" x14ac:dyDescent="0.3">
      <c r="B2" s="2"/>
      <c r="C2" s="2"/>
      <c r="D2" s="2"/>
      <c r="E2" s="2"/>
      <c r="F2" s="2"/>
      <c r="J2" s="944" t="s">
        <v>56</v>
      </c>
      <c r="K2" s="944"/>
      <c r="M2" s="944" t="s">
        <v>57</v>
      </c>
      <c r="N2" s="944"/>
    </row>
    <row r="3" spans="1:14" ht="41.5" customHeight="1" x14ac:dyDescent="0.25">
      <c r="A3" s="3" t="s">
        <v>58</v>
      </c>
      <c r="B3" s="4" t="s">
        <v>59</v>
      </c>
      <c r="C3" s="4" t="s">
        <v>60</v>
      </c>
      <c r="D3" s="4" t="s">
        <v>61</v>
      </c>
      <c r="E3" s="4" t="s">
        <v>62</v>
      </c>
      <c r="F3" s="4" t="s">
        <v>63</v>
      </c>
      <c r="G3" s="5" t="s">
        <v>64</v>
      </c>
      <c r="H3" s="5" t="s">
        <v>65</v>
      </c>
      <c r="I3" s="5" t="s">
        <v>66</v>
      </c>
      <c r="J3" s="5" t="s">
        <v>67</v>
      </c>
      <c r="K3" s="5" t="s">
        <v>68</v>
      </c>
      <c r="L3" s="5" t="s">
        <v>69</v>
      </c>
      <c r="M3" s="5" t="s">
        <v>67</v>
      </c>
      <c r="N3" s="5" t="s">
        <v>68</v>
      </c>
    </row>
    <row r="4" spans="1:14" s="860" customFormat="1" x14ac:dyDescent="0.25">
      <c r="A4" s="880">
        <v>2009</v>
      </c>
      <c r="B4" s="881">
        <v>3021871113.802</v>
      </c>
      <c r="C4" s="881">
        <v>374563741.41000003</v>
      </c>
      <c r="D4" s="882">
        <f t="shared" ref="D4:D7" si="0">B4/C4</f>
        <v>8.0677085892684932</v>
      </c>
      <c r="E4" s="881">
        <v>1430516269.6199999</v>
      </c>
      <c r="F4" s="881">
        <v>6720408.6200000001</v>
      </c>
      <c r="G4" s="883">
        <f t="shared" ref="G4:G7" si="1">E4/F4</f>
        <v>212.86150151090067</v>
      </c>
      <c r="H4" s="882">
        <f t="shared" ref="H4:H7" si="2">(B4+E4)/(C4+F4)</f>
        <v>11.677347151911977</v>
      </c>
      <c r="I4" s="884">
        <f t="shared" ref="I4:I7" si="3">B4+E4</f>
        <v>4452387383.4219999</v>
      </c>
      <c r="J4" s="885">
        <f t="shared" ref="J4:J7" si="4">B4/I4</f>
        <v>0.67870803988296746</v>
      </c>
      <c r="K4" s="885">
        <f t="shared" ref="K4:K7" si="5">E4/I4</f>
        <v>0.32129196011703248</v>
      </c>
      <c r="L4" s="884">
        <f t="shared" ref="L4:L7" si="6">C4+F4</f>
        <v>381284150.03000003</v>
      </c>
      <c r="M4" s="885">
        <f t="shared" ref="M4:M7" si="7">C4/L4</f>
        <v>0.9823742775054477</v>
      </c>
      <c r="N4" s="885">
        <f t="shared" ref="N4:N7" si="8">F4/L4</f>
        <v>1.7625722494552232E-2</v>
      </c>
    </row>
    <row r="5" spans="1:14" s="860" customFormat="1" x14ac:dyDescent="0.25">
      <c r="A5" s="880">
        <v>2010</v>
      </c>
      <c r="B5" s="881">
        <v>2627257770</v>
      </c>
      <c r="C5" s="881">
        <v>79544771.191</v>
      </c>
      <c r="D5" s="882">
        <f t="shared" si="0"/>
        <v>33.02866713503424</v>
      </c>
      <c r="E5" s="881">
        <v>1004517590.83</v>
      </c>
      <c r="F5" s="881">
        <v>8071233.7999999998</v>
      </c>
      <c r="G5" s="883">
        <f t="shared" si="1"/>
        <v>124.45651008523629</v>
      </c>
      <c r="H5" s="882">
        <f t="shared" si="2"/>
        <v>41.451049510909101</v>
      </c>
      <c r="I5" s="884">
        <f t="shared" si="3"/>
        <v>3631775360.8299999</v>
      </c>
      <c r="J5" s="885">
        <f t="shared" si="4"/>
        <v>0.72340866627818379</v>
      </c>
      <c r="K5" s="885">
        <f t="shared" si="5"/>
        <v>0.27659133372181621</v>
      </c>
      <c r="L5" s="884">
        <f t="shared" si="6"/>
        <v>87616004.990999997</v>
      </c>
      <c r="M5" s="885">
        <f t="shared" si="7"/>
        <v>0.90787945877206933</v>
      </c>
      <c r="N5" s="885">
        <f t="shared" si="8"/>
        <v>9.212054122793073E-2</v>
      </c>
    </row>
    <row r="6" spans="1:14" s="860" customFormat="1" ht="12.65" customHeight="1" x14ac:dyDescent="0.25">
      <c r="A6" s="880">
        <v>2011</v>
      </c>
      <c r="B6" s="881">
        <v>3825672202</v>
      </c>
      <c r="C6" s="881">
        <v>90407008.709999993</v>
      </c>
      <c r="D6" s="882">
        <f t="shared" si="0"/>
        <v>42.316101999034942</v>
      </c>
      <c r="E6" s="881">
        <v>1171295083.4400001</v>
      </c>
      <c r="F6" s="881">
        <v>6176044.5999999996</v>
      </c>
      <c r="G6" s="883">
        <f t="shared" si="1"/>
        <v>189.65133176661323</v>
      </c>
      <c r="H6" s="882">
        <f t="shared" si="2"/>
        <v>51.737516201743709</v>
      </c>
      <c r="I6" s="884">
        <f t="shared" si="3"/>
        <v>4996967285.4400005</v>
      </c>
      <c r="J6" s="885">
        <f t="shared" si="4"/>
        <v>0.76559880893099264</v>
      </c>
      <c r="K6" s="885">
        <f t="shared" si="5"/>
        <v>0.23440119106900725</v>
      </c>
      <c r="L6" s="884">
        <f t="shared" si="6"/>
        <v>96583053.309999987</v>
      </c>
      <c r="M6" s="885">
        <f t="shared" si="7"/>
        <v>0.93605457284336502</v>
      </c>
      <c r="N6" s="885">
        <f t="shared" si="8"/>
        <v>6.394542715663501E-2</v>
      </c>
    </row>
    <row r="7" spans="1:14" s="860" customFormat="1" x14ac:dyDescent="0.25">
      <c r="A7" s="880">
        <v>2012</v>
      </c>
      <c r="B7" s="881">
        <v>3859923125.6999998</v>
      </c>
      <c r="C7" s="881">
        <v>127278897.17299999</v>
      </c>
      <c r="D7" s="882">
        <f t="shared" si="0"/>
        <v>30.326497254713921</v>
      </c>
      <c r="E7" s="881">
        <v>1397590429.5599999</v>
      </c>
      <c r="F7" s="881">
        <v>2381007.7799999998</v>
      </c>
      <c r="G7" s="883">
        <f t="shared" si="1"/>
        <v>586.97432293144379</v>
      </c>
      <c r="H7" s="882">
        <f t="shared" si="2"/>
        <v>40.548491510662295</v>
      </c>
      <c r="I7" s="884">
        <f t="shared" si="3"/>
        <v>5257513555.2600002</v>
      </c>
      <c r="J7" s="885">
        <f t="shared" si="4"/>
        <v>0.73417273871567124</v>
      </c>
      <c r="K7" s="885">
        <f t="shared" si="5"/>
        <v>0.26582726128432871</v>
      </c>
      <c r="L7" s="884">
        <f t="shared" si="6"/>
        <v>129659904.95299999</v>
      </c>
      <c r="M7" s="885">
        <f t="shared" si="7"/>
        <v>0.98163651453498224</v>
      </c>
      <c r="N7" s="885">
        <f t="shared" si="8"/>
        <v>1.8363485465017763E-2</v>
      </c>
    </row>
    <row r="8" spans="1:14" x14ac:dyDescent="0.25">
      <c r="A8" s="862">
        <v>2013</v>
      </c>
      <c r="B8" s="863">
        <v>5729671699.9399996</v>
      </c>
      <c r="C8" s="863">
        <v>168632435.93188</v>
      </c>
      <c r="D8" s="864">
        <f>B8/C8</f>
        <v>33.977281228710545</v>
      </c>
      <c r="E8" s="863">
        <v>1395159665.6500001</v>
      </c>
      <c r="F8" s="863">
        <v>140582.98550000001</v>
      </c>
      <c r="G8" s="865">
        <f>E8/F8</f>
        <v>9924.1004214553395</v>
      </c>
      <c r="H8" s="864">
        <f>(B8+E8)/(C8+F8)</f>
        <v>42.215464363280965</v>
      </c>
      <c r="I8" s="866">
        <f>B8+E8</f>
        <v>7124831365.5900002</v>
      </c>
      <c r="J8" s="867">
        <f>B8/I8</f>
        <v>0.80418348251889205</v>
      </c>
      <c r="K8" s="867">
        <f>E8/I8</f>
        <v>0.1958165174811079</v>
      </c>
      <c r="L8" s="866">
        <f>C8+F8</f>
        <v>168773018.91738001</v>
      </c>
      <c r="M8" s="867">
        <f>C8/L8</f>
        <v>0.9991670292656859</v>
      </c>
      <c r="N8" s="867">
        <f>F8/L8</f>
        <v>8.3297073431399626E-4</v>
      </c>
    </row>
    <row r="9" spans="1:14" x14ac:dyDescent="0.25">
      <c r="A9" s="868">
        <v>2014</v>
      </c>
      <c r="B9" s="869">
        <v>5814528559.2700005</v>
      </c>
      <c r="C9" s="869">
        <v>98052618.809210002</v>
      </c>
      <c r="D9" s="870">
        <f t="shared" ref="D9:D18" si="9">B9/C9</f>
        <v>59.300084280093152</v>
      </c>
      <c r="E9" s="869">
        <v>3193736648.7000003</v>
      </c>
      <c r="F9" s="869">
        <v>318679.48184000002</v>
      </c>
      <c r="G9" s="871">
        <f t="shared" ref="G9:G18" si="10">E9/F9</f>
        <v>10021.783110289747</v>
      </c>
      <c r="H9" s="870">
        <f t="shared" ref="H9:H18" si="11">(B9+E9)/(C9+F9)</f>
        <v>91.5741213592338</v>
      </c>
      <c r="I9" s="872">
        <f t="shared" ref="I9:I18" si="12">B9+E9</f>
        <v>9008265207.9700012</v>
      </c>
      <c r="J9" s="873">
        <f t="shared" ref="J9:J18" si="13">B9/I9</f>
        <v>0.64546596098498921</v>
      </c>
      <c r="K9" s="873">
        <f t="shared" ref="K9:K18" si="14">E9/I9</f>
        <v>0.35453403901501074</v>
      </c>
      <c r="L9" s="872">
        <f t="shared" ref="L9:L18" si="15">C9+F9</f>
        <v>98371298.291050002</v>
      </c>
      <c r="M9" s="873">
        <f t="shared" ref="M9:M18" si="16">C9/L9</f>
        <v>0.99676044245246076</v>
      </c>
      <c r="N9" s="873">
        <f t="shared" ref="N9:N18" si="17">F9/L9</f>
        <v>3.2395575475391894E-3</v>
      </c>
    </row>
    <row r="10" spans="1:14" x14ac:dyDescent="0.25">
      <c r="A10" s="862">
        <v>2015</v>
      </c>
      <c r="B10" s="863">
        <v>7710603447.8100004</v>
      </c>
      <c r="C10" s="863">
        <v>61871332.03198</v>
      </c>
      <c r="D10" s="864">
        <f t="shared" si="9"/>
        <v>124.62320099758884</v>
      </c>
      <c r="E10" s="863">
        <v>5301487985.9499998</v>
      </c>
      <c r="F10" s="863">
        <v>545331.50899999996</v>
      </c>
      <c r="G10" s="865">
        <f t="shared" si="10"/>
        <v>9721.5875086176256</v>
      </c>
      <c r="H10" s="864">
        <f t="shared" si="11"/>
        <v>208.47143527972847</v>
      </c>
      <c r="I10" s="866">
        <f t="shared" si="12"/>
        <v>13012091433.76</v>
      </c>
      <c r="J10" s="867">
        <f t="shared" si="13"/>
        <v>0.59257218465317296</v>
      </c>
      <c r="K10" s="867">
        <f t="shared" si="14"/>
        <v>0.40742781534682709</v>
      </c>
      <c r="L10" s="866">
        <f t="shared" si="15"/>
        <v>62416663.540980004</v>
      </c>
      <c r="M10" s="867">
        <f t="shared" si="16"/>
        <v>0.99126304614725258</v>
      </c>
      <c r="N10" s="867">
        <f t="shared" si="17"/>
        <v>8.7369538527473454E-3</v>
      </c>
    </row>
    <row r="11" spans="1:14" x14ac:dyDescent="0.25">
      <c r="A11" s="868">
        <v>2016</v>
      </c>
      <c r="B11" s="869">
        <v>6182901068.2399998</v>
      </c>
      <c r="C11" s="869">
        <v>62571985.796410002</v>
      </c>
      <c r="D11" s="870">
        <f t="shared" si="9"/>
        <v>98.812607423987757</v>
      </c>
      <c r="E11" s="869">
        <v>6548309000.1599998</v>
      </c>
      <c r="F11" s="869">
        <v>1733787.4010000001</v>
      </c>
      <c r="G11" s="871">
        <f t="shared" si="10"/>
        <v>3776.8811772326403</v>
      </c>
      <c r="H11" s="874">
        <f t="shared" si="11"/>
        <v>197.97927052858708</v>
      </c>
      <c r="I11" s="872">
        <f t="shared" si="12"/>
        <v>12731210068.4</v>
      </c>
      <c r="J11" s="873">
        <f t="shared" si="13"/>
        <v>0.48564912801073895</v>
      </c>
      <c r="K11" s="873">
        <f t="shared" si="14"/>
        <v>0.5143508719892611</v>
      </c>
      <c r="L11" s="872">
        <f t="shared" si="15"/>
        <v>64305773.197410002</v>
      </c>
      <c r="M11" s="873">
        <f t="shared" si="16"/>
        <v>0.97303838652748165</v>
      </c>
      <c r="N11" s="873">
        <f t="shared" si="17"/>
        <v>2.6961613472518367E-2</v>
      </c>
    </row>
    <row r="12" spans="1:14" x14ac:dyDescent="0.25">
      <c r="A12" s="862">
        <v>2017</v>
      </c>
      <c r="B12" s="863">
        <v>4930488422.4799995</v>
      </c>
      <c r="C12" s="863">
        <v>63996913.017059997</v>
      </c>
      <c r="D12" s="864">
        <f t="shared" si="9"/>
        <v>77.042597682260904</v>
      </c>
      <c r="E12" s="863">
        <v>6907993018.6200008</v>
      </c>
      <c r="F12" s="863">
        <v>2007812.5160000001</v>
      </c>
      <c r="G12" s="865">
        <f t="shared" si="10"/>
        <v>3440.556806759143</v>
      </c>
      <c r="H12" s="864">
        <f t="shared" si="11"/>
        <v>179.35808906849286</v>
      </c>
      <c r="I12" s="866">
        <f t="shared" si="12"/>
        <v>11838481441.1</v>
      </c>
      <c r="J12" s="867">
        <f t="shared" si="13"/>
        <v>0.41647980334392209</v>
      </c>
      <c r="K12" s="867">
        <f t="shared" si="14"/>
        <v>0.58352019665607791</v>
      </c>
      <c r="L12" s="866">
        <f t="shared" si="15"/>
        <v>66004725.533059999</v>
      </c>
      <c r="M12" s="867">
        <f t="shared" si="16"/>
        <v>0.96958077622799377</v>
      </c>
      <c r="N12" s="867">
        <f t="shared" si="17"/>
        <v>3.0419223772006152E-2</v>
      </c>
    </row>
    <row r="13" spans="1:14" x14ac:dyDescent="0.25">
      <c r="A13" s="868">
        <v>2018</v>
      </c>
      <c r="B13" s="869">
        <v>3273928329.73</v>
      </c>
      <c r="C13" s="869">
        <v>61294384.388850003</v>
      </c>
      <c r="D13" s="870">
        <f t="shared" si="9"/>
        <v>53.413185602130902</v>
      </c>
      <c r="E13" s="869">
        <v>10868138711.32</v>
      </c>
      <c r="F13" s="869">
        <v>2747478.59142</v>
      </c>
      <c r="G13" s="871">
        <f t="shared" si="10"/>
        <v>3955.6773054609821</v>
      </c>
      <c r="H13" s="874">
        <f t="shared" si="11"/>
        <v>220.8253536504221</v>
      </c>
      <c r="I13" s="872">
        <f t="shared" si="12"/>
        <v>14142067041.049999</v>
      </c>
      <c r="J13" s="873">
        <f t="shared" si="13"/>
        <v>0.23150281498643796</v>
      </c>
      <c r="K13" s="873">
        <f t="shared" si="14"/>
        <v>0.76849718501356212</v>
      </c>
      <c r="L13" s="872">
        <f t="shared" si="15"/>
        <v>64041862.980270006</v>
      </c>
      <c r="M13" s="873">
        <f t="shared" si="16"/>
        <v>0.95709870913239292</v>
      </c>
      <c r="N13" s="873">
        <f t="shared" si="17"/>
        <v>4.2901290867607057E-2</v>
      </c>
    </row>
    <row r="14" spans="1:14" x14ac:dyDescent="0.25">
      <c r="A14" s="862">
        <v>2019</v>
      </c>
      <c r="B14" s="863">
        <v>6538775773.7300005</v>
      </c>
      <c r="C14" s="863">
        <v>46700025.45865</v>
      </c>
      <c r="D14" s="864">
        <f t="shared" si="9"/>
        <v>140.01653552672437</v>
      </c>
      <c r="E14" s="863">
        <v>11728936819.51</v>
      </c>
      <c r="F14" s="863">
        <v>5147598.5378799997</v>
      </c>
      <c r="G14" s="865">
        <f t="shared" si="10"/>
        <v>2278.5259443213058</v>
      </c>
      <c r="H14" s="864">
        <f t="shared" si="11"/>
        <v>352.33461410811429</v>
      </c>
      <c r="I14" s="866">
        <f t="shared" si="12"/>
        <v>18267712593.240002</v>
      </c>
      <c r="J14" s="867">
        <f t="shared" si="13"/>
        <v>0.3579416820992512</v>
      </c>
      <c r="K14" s="867">
        <f t="shared" si="14"/>
        <v>0.64205831790074874</v>
      </c>
      <c r="L14" s="866">
        <f t="shared" si="15"/>
        <v>51847623.996529996</v>
      </c>
      <c r="M14" s="867">
        <f t="shared" si="16"/>
        <v>0.90071679006496985</v>
      </c>
      <c r="N14" s="867">
        <f t="shared" si="17"/>
        <v>9.9283209935030245E-2</v>
      </c>
    </row>
    <row r="15" spans="1:14" x14ac:dyDescent="0.25">
      <c r="A15" s="868">
        <v>2020</v>
      </c>
      <c r="B15" s="869">
        <v>7068673616.54</v>
      </c>
      <c r="C15" s="869">
        <v>23302218.481520001</v>
      </c>
      <c r="D15" s="870">
        <f t="shared" si="9"/>
        <v>303.34766718224125</v>
      </c>
      <c r="E15" s="869">
        <v>11584014865.74</v>
      </c>
      <c r="F15" s="869">
        <v>3499929.0128000001</v>
      </c>
      <c r="G15" s="871">
        <f t="shared" si="10"/>
        <v>3309.7856623305051</v>
      </c>
      <c r="H15" s="874">
        <f t="shared" si="11"/>
        <v>695.9400729450108</v>
      </c>
      <c r="I15" s="872">
        <f t="shared" si="12"/>
        <v>18652688482.279999</v>
      </c>
      <c r="J15" s="873">
        <f t="shared" si="13"/>
        <v>0.37896272289408683</v>
      </c>
      <c r="K15" s="873">
        <f t="shared" si="14"/>
        <v>0.62103727710591328</v>
      </c>
      <c r="L15" s="872">
        <f t="shared" si="15"/>
        <v>26802147.494320001</v>
      </c>
      <c r="M15" s="873">
        <f t="shared" si="16"/>
        <v>0.86941609758913097</v>
      </c>
      <c r="N15" s="873">
        <f t="shared" si="17"/>
        <v>0.13058390241086901</v>
      </c>
    </row>
    <row r="16" spans="1:14" x14ac:dyDescent="0.25">
      <c r="A16" s="862">
        <v>2021</v>
      </c>
      <c r="B16" s="863">
        <v>9950225504.8799992</v>
      </c>
      <c r="C16" s="863">
        <v>21492497.745689999</v>
      </c>
      <c r="D16" s="864">
        <f t="shared" si="9"/>
        <v>462.96273344383013</v>
      </c>
      <c r="E16" s="879">
        <v>10944414722.83</v>
      </c>
      <c r="F16" s="879">
        <v>3941740.4503000001</v>
      </c>
      <c r="G16" s="865">
        <f t="shared" si="10"/>
        <v>2776.5437275295576</v>
      </c>
      <c r="H16" s="864">
        <f t="shared" si="11"/>
        <v>821.51625956716407</v>
      </c>
      <c r="I16" s="866">
        <f t="shared" si="12"/>
        <v>20894640227.709999</v>
      </c>
      <c r="J16" s="867">
        <f t="shared" si="13"/>
        <v>0.47620946790384239</v>
      </c>
      <c r="K16" s="867">
        <f t="shared" si="14"/>
        <v>0.52379053209615756</v>
      </c>
      <c r="L16" s="866">
        <f t="shared" si="15"/>
        <v>25434238.19599</v>
      </c>
      <c r="M16" s="867">
        <f t="shared" si="16"/>
        <v>0.84502227194988444</v>
      </c>
      <c r="N16" s="867">
        <f t="shared" si="17"/>
        <v>0.15497772805011556</v>
      </c>
    </row>
    <row r="17" spans="1:14" x14ac:dyDescent="0.25">
      <c r="A17" s="875">
        <v>2022</v>
      </c>
      <c r="B17" s="869">
        <v>2795927674.2200003</v>
      </c>
      <c r="C17" s="869">
        <v>40653785.908009999</v>
      </c>
      <c r="D17" s="874">
        <f t="shared" si="9"/>
        <v>68.77410336509692</v>
      </c>
      <c r="E17" s="878">
        <v>11146793014.219999</v>
      </c>
      <c r="F17" s="878">
        <v>6386287.2659</v>
      </c>
      <c r="G17" s="876">
        <f t="shared" si="10"/>
        <v>1745.4261842775272</v>
      </c>
      <c r="H17" s="874">
        <f t="shared" si="11"/>
        <v>296.40091410769952</v>
      </c>
      <c r="I17" s="872">
        <f t="shared" si="12"/>
        <v>13942720688.439999</v>
      </c>
      <c r="J17" s="873">
        <f t="shared" si="13"/>
        <v>0.20052956210606171</v>
      </c>
      <c r="K17" s="873">
        <f t="shared" si="14"/>
        <v>0.79947043789393835</v>
      </c>
      <c r="L17" s="872">
        <f t="shared" si="15"/>
        <v>47040073.173909999</v>
      </c>
      <c r="M17" s="873">
        <f t="shared" si="16"/>
        <v>0.86423730162388335</v>
      </c>
      <c r="N17" s="873">
        <f t="shared" si="17"/>
        <v>0.13576269837611665</v>
      </c>
    </row>
    <row r="18" spans="1:14" x14ac:dyDescent="0.25">
      <c r="A18" s="862">
        <v>2023</v>
      </c>
      <c r="B18" s="863">
        <v>2463950526.8800001</v>
      </c>
      <c r="C18" s="863">
        <v>31780479.223850001</v>
      </c>
      <c r="D18" s="864">
        <f t="shared" si="9"/>
        <v>77.530313798128702</v>
      </c>
      <c r="E18" s="879">
        <v>12921823440.940001</v>
      </c>
      <c r="F18" s="879">
        <v>6812933.2967999997</v>
      </c>
      <c r="G18" s="865">
        <f t="shared" si="10"/>
        <v>1896.660788827819</v>
      </c>
      <c r="H18" s="864">
        <f t="shared" si="11"/>
        <v>398.66321641258349</v>
      </c>
      <c r="I18" s="866">
        <f t="shared" si="12"/>
        <v>15385773967.82</v>
      </c>
      <c r="J18" s="867">
        <f t="shared" si="13"/>
        <v>0.16014472408300404</v>
      </c>
      <c r="K18" s="867">
        <f t="shared" si="14"/>
        <v>0.83985527591699605</v>
      </c>
      <c r="L18" s="866">
        <f t="shared" si="15"/>
        <v>38593412.520649999</v>
      </c>
      <c r="M18" s="867">
        <f t="shared" si="16"/>
        <v>0.8234690105946284</v>
      </c>
      <c r="N18" s="867">
        <f t="shared" si="17"/>
        <v>0.17653098940537157</v>
      </c>
    </row>
    <row r="19" spans="1:14" x14ac:dyDescent="0.25">
      <c r="A19" s="6"/>
      <c r="B19" s="6"/>
      <c r="C19" s="6"/>
      <c r="D19" s="6"/>
      <c r="E19" s="6"/>
      <c r="F19" s="6"/>
      <c r="H19" s="887">
        <f>AVERAGE(H8:H18)</f>
        <v>318.66171012639251</v>
      </c>
      <c r="I19" s="886">
        <f>AVERAGE(I4:I18)</f>
        <v>11555941740.154137</v>
      </c>
      <c r="L19" s="886">
        <f>AVERAGE(L8:L18)</f>
        <v>64875530.712868191</v>
      </c>
    </row>
  </sheetData>
  <mergeCells count="3">
    <mergeCell ref="A1:D1"/>
    <mergeCell ref="J2:K2"/>
    <mergeCell ref="M2:N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2:AE60"/>
  <sheetViews>
    <sheetView workbookViewId="0">
      <selection activeCell="D13" sqref="D13"/>
    </sheetView>
  </sheetViews>
  <sheetFormatPr defaultRowHeight="12.5" x14ac:dyDescent="0.25"/>
  <cols>
    <col min="1" max="1" width="0.81640625" customWidth="1"/>
    <col min="2" max="2" width="45.54296875" customWidth="1"/>
    <col min="3" max="3" width="19.81640625" customWidth="1"/>
    <col min="4" max="21" width="18" customWidth="1"/>
    <col min="22" max="28" width="15.26953125" customWidth="1"/>
    <col min="29" max="29" width="19.7265625" customWidth="1"/>
    <col min="30" max="30" width="17.1796875" bestFit="1" customWidth="1"/>
    <col min="31" max="31" width="11.54296875" customWidth="1"/>
    <col min="32" max="41" width="9.1796875" customWidth="1"/>
    <col min="42" max="1025" width="14.453125" customWidth="1"/>
  </cols>
  <sheetData>
    <row r="2" spans="2:29" ht="12.75" customHeight="1" x14ac:dyDescent="0.3">
      <c r="B2" s="7"/>
      <c r="C2" s="7"/>
      <c r="D2" s="7"/>
      <c r="E2" s="7"/>
      <c r="F2" s="7"/>
      <c r="G2" s="7"/>
      <c r="H2" s="7"/>
      <c r="I2" s="1066"/>
      <c r="J2" s="1066"/>
      <c r="K2" s="1066"/>
      <c r="L2" s="1066"/>
      <c r="M2" s="1066"/>
      <c r="N2" s="1066"/>
      <c r="O2" s="1066"/>
      <c r="P2" s="1066"/>
      <c r="Q2" s="1066"/>
      <c r="R2" s="1066"/>
      <c r="S2" s="1066"/>
      <c r="T2" s="1066"/>
      <c r="U2" s="1066"/>
      <c r="V2" s="1066"/>
      <c r="W2" s="1066"/>
      <c r="X2" s="1066"/>
      <c r="Y2" s="1066"/>
      <c r="Z2" s="1066"/>
      <c r="AA2" s="1066"/>
      <c r="AB2" s="1066"/>
      <c r="AC2" s="1066"/>
    </row>
    <row r="3" spans="2:29" ht="12.75" customHeight="1" x14ac:dyDescent="0.3">
      <c r="B3" s="7"/>
      <c r="C3" s="1068" t="s">
        <v>70</v>
      </c>
      <c r="D3" s="1068"/>
      <c r="E3" s="1068"/>
      <c r="F3" s="1068"/>
      <c r="G3" s="1068"/>
      <c r="H3" s="1068"/>
      <c r="I3" s="1068"/>
      <c r="J3" s="1068"/>
      <c r="K3" s="1068"/>
      <c r="L3" s="1068"/>
      <c r="M3" s="1068"/>
      <c r="N3" s="634"/>
      <c r="O3" s="634"/>
      <c r="P3" s="634"/>
      <c r="Q3" s="634"/>
      <c r="R3" s="634"/>
      <c r="S3" s="634"/>
      <c r="T3" s="634"/>
      <c r="U3" s="634"/>
      <c r="V3" s="634"/>
      <c r="W3" s="634"/>
      <c r="X3" s="634"/>
      <c r="Y3" s="634"/>
      <c r="Z3" s="634"/>
      <c r="AA3" s="634"/>
      <c r="AB3" s="634"/>
      <c r="AC3" s="634"/>
    </row>
    <row r="4" spans="2:29" ht="12.75" customHeight="1" x14ac:dyDescent="0.3">
      <c r="B4" s="7"/>
      <c r="C4" s="1069" t="s">
        <v>71</v>
      </c>
      <c r="D4" s="1069"/>
      <c r="E4" s="1069"/>
      <c r="F4" s="1069"/>
      <c r="G4" s="1069"/>
      <c r="H4" s="1069"/>
      <c r="I4" s="1069"/>
      <c r="J4" s="1069"/>
      <c r="K4" s="1069"/>
      <c r="L4" s="1069"/>
      <c r="M4" s="1069"/>
      <c r="N4" s="634"/>
      <c r="O4" s="634"/>
      <c r="P4" s="634"/>
      <c r="Q4" s="634"/>
      <c r="R4" s="634"/>
      <c r="S4" s="634"/>
      <c r="T4" s="634"/>
      <c r="U4" s="634"/>
      <c r="V4" s="634"/>
      <c r="W4" s="634"/>
      <c r="X4" s="634"/>
      <c r="Y4" s="634"/>
      <c r="Z4" s="634"/>
      <c r="AA4" s="634"/>
      <c r="AB4" s="634"/>
      <c r="AC4" s="634"/>
    </row>
    <row r="5" spans="2:29" ht="12.75" customHeight="1" x14ac:dyDescent="0.3">
      <c r="B5" s="7"/>
      <c r="C5" s="1070"/>
      <c r="D5" s="1070"/>
      <c r="E5" s="1070"/>
      <c r="F5" s="1070"/>
      <c r="G5" s="1070"/>
      <c r="H5" s="1070"/>
      <c r="I5" s="1070"/>
      <c r="J5" s="1070"/>
      <c r="K5" s="1070"/>
      <c r="L5" s="1070"/>
      <c r="M5" s="1070"/>
      <c r="N5" s="634"/>
      <c r="O5" s="634"/>
      <c r="P5" s="634"/>
      <c r="Q5" s="634"/>
      <c r="R5" s="634"/>
      <c r="S5" s="634"/>
      <c r="T5" s="634"/>
      <c r="U5" s="634"/>
      <c r="V5" s="634"/>
      <c r="W5" s="634"/>
      <c r="X5" s="634"/>
      <c r="Y5" s="634"/>
      <c r="Z5" s="634"/>
      <c r="AA5" s="634"/>
      <c r="AB5" s="634"/>
      <c r="AC5" s="634"/>
    </row>
    <row r="6" spans="2:29" ht="12.75" customHeight="1" x14ac:dyDescent="0.3">
      <c r="B6" s="7"/>
      <c r="C6" s="7"/>
      <c r="D6" s="7"/>
      <c r="E6" s="7"/>
      <c r="F6" s="7"/>
      <c r="G6" s="7"/>
      <c r="H6" s="7"/>
      <c r="I6" s="634"/>
      <c r="J6" s="634"/>
      <c r="K6" s="634"/>
      <c r="L6" s="634"/>
      <c r="M6" s="634"/>
      <c r="N6" s="634"/>
      <c r="O6" s="634"/>
      <c r="P6" s="634"/>
      <c r="Q6" s="634"/>
      <c r="R6" s="634"/>
      <c r="S6" s="634"/>
      <c r="T6" s="634"/>
      <c r="U6" s="634"/>
      <c r="V6" s="634"/>
      <c r="W6" s="634"/>
      <c r="X6" s="634"/>
      <c r="Y6" s="634"/>
      <c r="Z6" s="634"/>
      <c r="AA6" s="634"/>
      <c r="AB6" s="634"/>
      <c r="AC6" s="634"/>
    </row>
    <row r="7" spans="2:29" ht="12.75" customHeight="1" x14ac:dyDescent="0.3">
      <c r="B7" s="7"/>
      <c r="C7" s="7"/>
      <c r="D7" s="7"/>
      <c r="E7" s="7"/>
      <c r="F7" s="7"/>
      <c r="G7" s="7"/>
      <c r="H7" s="7"/>
      <c r="I7" s="1066"/>
      <c r="J7" s="1066"/>
      <c r="K7" s="1066"/>
      <c r="L7" s="1066"/>
      <c r="M7" s="1066"/>
      <c r="N7" s="1066"/>
      <c r="O7" s="1066"/>
      <c r="P7" s="1066"/>
      <c r="Q7" s="1066"/>
      <c r="R7" s="1066"/>
      <c r="S7" s="1066"/>
      <c r="T7" s="1066"/>
      <c r="U7" s="1066"/>
      <c r="V7" s="1066"/>
      <c r="W7" s="1066"/>
      <c r="X7" s="1066"/>
      <c r="Y7" s="1066"/>
      <c r="Z7" s="1066"/>
      <c r="AA7" s="1066"/>
      <c r="AB7" s="1066"/>
      <c r="AC7" s="1066"/>
    </row>
    <row r="8" spans="2:29" ht="12.75" customHeight="1" x14ac:dyDescent="0.3">
      <c r="B8" s="1015" t="s">
        <v>579</v>
      </c>
      <c r="C8" s="1015"/>
      <c r="D8" s="1015"/>
      <c r="E8" s="1015"/>
      <c r="F8" s="1015"/>
      <c r="G8" s="7"/>
      <c r="H8" s="7"/>
      <c r="I8" s="1066"/>
      <c r="J8" s="1066"/>
      <c r="K8" s="1066"/>
      <c r="L8" s="1066"/>
      <c r="M8" s="1066"/>
      <c r="N8" s="1066"/>
      <c r="O8" s="1066"/>
      <c r="P8" s="1066"/>
      <c r="Q8" s="1066"/>
      <c r="R8" s="1066"/>
      <c r="S8" s="1066"/>
      <c r="T8" s="1066"/>
      <c r="U8" s="1066"/>
      <c r="V8" s="1066"/>
      <c r="W8" s="1066"/>
      <c r="X8" s="1066"/>
      <c r="Y8" s="1066"/>
      <c r="Z8" s="1066"/>
      <c r="AA8" s="1066"/>
      <c r="AB8" s="1066"/>
      <c r="AC8" s="1066"/>
    </row>
    <row r="9" spans="2:29" ht="12.75" customHeight="1" x14ac:dyDescent="0.25">
      <c r="B9" s="7"/>
      <c r="C9" s="7"/>
      <c r="D9" s="7"/>
      <c r="E9" s="7"/>
      <c r="F9" s="7"/>
      <c r="G9" s="7"/>
      <c r="H9" s="7"/>
      <c r="I9" s="7"/>
      <c r="J9" s="7"/>
      <c r="K9" s="7"/>
      <c r="L9" s="7"/>
      <c r="M9" s="7"/>
      <c r="N9" s="7"/>
      <c r="O9" s="7"/>
      <c r="P9" s="7"/>
      <c r="Q9" s="7"/>
      <c r="R9" s="7"/>
      <c r="S9" s="7"/>
      <c r="T9" s="7"/>
      <c r="U9" s="7"/>
      <c r="V9" s="7"/>
      <c r="W9" s="7"/>
      <c r="X9" s="7"/>
      <c r="Y9" s="7"/>
      <c r="Z9" s="7"/>
      <c r="AA9" s="7"/>
      <c r="AB9" s="7"/>
      <c r="AC9" s="7"/>
    </row>
    <row r="10" spans="2:29" ht="12.75" customHeight="1" x14ac:dyDescent="0.25">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row>
    <row r="11" spans="2:29" ht="12.75" customHeight="1" x14ac:dyDescent="0.3">
      <c r="B11" s="7"/>
      <c r="C11" s="7"/>
      <c r="D11" s="635" t="s">
        <v>580</v>
      </c>
      <c r="E11" s="636"/>
      <c r="F11" s="636"/>
      <c r="G11" s="636"/>
      <c r="H11" s="636"/>
      <c r="I11" s="636"/>
      <c r="J11" s="636"/>
      <c r="K11" s="636"/>
      <c r="L11" s="636"/>
      <c r="M11" s="636"/>
      <c r="N11" s="636"/>
      <c r="O11" s="636"/>
      <c r="P11" s="636"/>
      <c r="Q11" s="636"/>
      <c r="R11" s="636"/>
      <c r="S11" s="636"/>
      <c r="T11" s="636"/>
      <c r="U11" s="636"/>
      <c r="V11" s="636"/>
      <c r="W11" s="636"/>
      <c r="X11" s="636"/>
      <c r="Y11" s="636"/>
      <c r="Z11" s="636"/>
      <c r="AA11" s="636"/>
      <c r="AB11" s="636"/>
      <c r="AC11" s="637" t="s">
        <v>265</v>
      </c>
    </row>
    <row r="12" spans="2:29" ht="12.75" customHeight="1" x14ac:dyDescent="0.3">
      <c r="B12" s="638" t="s">
        <v>581</v>
      </c>
      <c r="C12" s="350" t="s">
        <v>582</v>
      </c>
      <c r="D12" s="639">
        <v>1</v>
      </c>
      <c r="E12" s="639">
        <v>2</v>
      </c>
      <c r="F12" s="639">
        <v>3</v>
      </c>
      <c r="G12" s="639">
        <v>4</v>
      </c>
      <c r="H12" s="639">
        <v>5</v>
      </c>
      <c r="I12" s="639">
        <v>6</v>
      </c>
      <c r="J12" s="639">
        <v>7</v>
      </c>
      <c r="K12" s="639">
        <v>8</v>
      </c>
      <c r="L12" s="639">
        <v>9</v>
      </c>
      <c r="M12" s="639">
        <v>10</v>
      </c>
      <c r="N12" s="639">
        <v>11</v>
      </c>
      <c r="O12" s="639">
        <v>12</v>
      </c>
      <c r="P12" s="639">
        <v>13</v>
      </c>
      <c r="Q12" s="639">
        <v>14</v>
      </c>
      <c r="R12" s="639">
        <v>15</v>
      </c>
      <c r="S12" s="639">
        <v>16</v>
      </c>
      <c r="T12" s="639">
        <v>17</v>
      </c>
      <c r="U12" s="639">
        <v>18</v>
      </c>
      <c r="V12" s="639">
        <v>19</v>
      </c>
      <c r="W12" s="639">
        <v>20</v>
      </c>
      <c r="X12" s="639">
        <v>21</v>
      </c>
      <c r="Y12" s="639">
        <v>22</v>
      </c>
      <c r="Z12" s="639">
        <v>23</v>
      </c>
      <c r="AA12" s="639">
        <v>24</v>
      </c>
      <c r="AB12" s="640">
        <v>25</v>
      </c>
      <c r="AC12" s="641" t="s">
        <v>583</v>
      </c>
    </row>
    <row r="13" spans="2:29" ht="12.75" customHeight="1" x14ac:dyDescent="0.25">
      <c r="B13" s="42" t="s">
        <v>584</v>
      </c>
      <c r="C13" s="642" t="s">
        <v>585</v>
      </c>
      <c r="D13" s="30">
        <f>'Anexo VI - custos e despesas'!C15</f>
        <v>4860418.461283504</v>
      </c>
      <c r="E13" s="30">
        <f>'Anexo VI - custos e despesas'!D15</f>
        <v>18070096.941561904</v>
      </c>
      <c r="F13" s="30">
        <f>'Anexo VI - custos e despesas'!E15</f>
        <v>31222222.969797384</v>
      </c>
      <c r="G13" s="30">
        <f>'Anexo VI - custos e despesas'!F15</f>
        <v>31395676.010231547</v>
      </c>
      <c r="H13" s="30">
        <f>'Anexo VI - custos e despesas'!G15</f>
        <v>31571904.299312662</v>
      </c>
      <c r="I13" s="30">
        <f>'Anexo VI - custos e despesas'!H15</f>
        <v>31776242.427870281</v>
      </c>
      <c r="J13" s="30">
        <f>'Anexo VI - custos e despesas'!I15</f>
        <v>31958155.136643991</v>
      </c>
      <c r="K13" s="30">
        <f>'Anexo VI - custos e despesas'!J15</f>
        <v>32142978.448758084</v>
      </c>
      <c r="L13" s="30">
        <f>'Anexo VI - custos e despesas'!K15</f>
        <v>32948627.904870003</v>
      </c>
      <c r="M13" s="30">
        <f>'Anexo VI - custos e despesas'!L15</f>
        <v>33022840.719751645</v>
      </c>
      <c r="N13" s="30">
        <f>'Anexo VI - custos e despesas'!M15</f>
        <v>34485971.948223926</v>
      </c>
      <c r="O13" s="30">
        <f>'Anexo VI - custos e despesas'!N15</f>
        <v>34682910.881178454</v>
      </c>
      <c r="P13" s="30">
        <f>'Anexo VI - custos e despesas'!O15</f>
        <v>34932706.248668253</v>
      </c>
      <c r="Q13" s="30">
        <f>'Anexo VI - custos e despesas'!P15</f>
        <v>35237009.906216167</v>
      </c>
      <c r="R13" s="30">
        <f>'Anexo VI - custos e despesas'!Q15</f>
        <v>35683456.043714888</v>
      </c>
      <c r="S13" s="30">
        <f>'Anexo VI - custos e despesas'!R15</f>
        <v>36448815.556321308</v>
      </c>
      <c r="T13" s="30">
        <f>'Anexo VI - custos e despesas'!S15</f>
        <v>36662021.898938708</v>
      </c>
      <c r="U13" s="30">
        <f>'Anexo VI - custos e despesas'!T15</f>
        <v>36878639.543037988</v>
      </c>
      <c r="V13" s="30">
        <f>'Anexo VI - custos e despesas'!U15</f>
        <v>37098723.069442853</v>
      </c>
      <c r="W13" s="30">
        <f>'Anexo VI - custos e despesas'!V15</f>
        <v>37322327.932270207</v>
      </c>
      <c r="X13" s="30">
        <f>'Anexo VI - custos e despesas'!W15</f>
        <v>37549510.47290279</v>
      </c>
      <c r="Y13" s="30">
        <f>'Anexo VI - custos e despesas'!X15</f>
        <v>37780327.934185497</v>
      </c>
      <c r="Z13" s="30">
        <f>'Anexo VI - custos e despesas'!Y15</f>
        <v>38014838.474848725</v>
      </c>
      <c r="AA13" s="30">
        <f>'Anexo VI - custos e despesas'!Z15</f>
        <v>38253101.184162565</v>
      </c>
      <c r="AB13" s="30">
        <f>'Anexo VI - custos e despesas'!AA15</f>
        <v>38495176.096825436</v>
      </c>
      <c r="AC13" s="643">
        <f>SUM(D13:AB13)</f>
        <v>828494700.51101887</v>
      </c>
    </row>
    <row r="14" spans="2:29" ht="12.75" customHeight="1" x14ac:dyDescent="0.25">
      <c r="B14" s="42" t="s">
        <v>586</v>
      </c>
      <c r="C14" s="642" t="s">
        <v>587</v>
      </c>
      <c r="D14" s="481">
        <f>'Anexo V - ano 16 a 25'!$I172</f>
        <v>0</v>
      </c>
      <c r="E14" s="481">
        <f>'Anexo V - ano 16 a 25'!$I173</f>
        <v>1195048.6497726331</v>
      </c>
      <c r="F14" s="481">
        <f>'Anexo V - ano 16 a 25'!$I174</f>
        <v>3648015.7093178998</v>
      </c>
      <c r="G14" s="481">
        <f>'Anexo V - ano 16 a 25'!$I175</f>
        <v>3648015.7093178998</v>
      </c>
      <c r="H14" s="481">
        <f>'Anexo V - ano 16 a 25'!$I176</f>
        <v>3648015.7093178998</v>
      </c>
      <c r="I14" s="481">
        <f>'Anexo V - ano 16 a 25'!$I177</f>
        <v>4366863.514381594</v>
      </c>
      <c r="J14" s="481">
        <f>'Anexo V - ano 16 a 25'!$I178</f>
        <v>4016083.4672274692</v>
      </c>
      <c r="K14" s="481">
        <f>'Anexo V - ano 16 a 25'!$I179</f>
        <v>3314523.3729192214</v>
      </c>
      <c r="L14" s="481">
        <f>'Anexo V - ano 16 a 25'!$I180</f>
        <v>3314523.3729192214</v>
      </c>
      <c r="M14" s="481">
        <f>'Anexo V - ano 16 a 25'!$I181</f>
        <v>3314523.3729192214</v>
      </c>
      <c r="N14" s="481">
        <f>'Anexo V - ano 16 a 25'!$I182</f>
        <v>3284041.4720409494</v>
      </c>
      <c r="O14" s="481">
        <f>'Anexo V - ano 16 a 25'!$I183</f>
        <v>3034972.9290646538</v>
      </c>
      <c r="P14" s="481">
        <f>'Anexo V - ano 16 a 25'!$I184</f>
        <v>2536835.8431120636</v>
      </c>
      <c r="Q14" s="481">
        <f>'Anexo V - ano 16 a 25'!$I185</f>
        <v>2536835.8431120636</v>
      </c>
      <c r="R14" s="481">
        <f>'Anexo V - ano 16 a 25'!$I186</f>
        <v>2536835.8431120636</v>
      </c>
      <c r="S14" s="481">
        <f>'Anexo V - ano 16 a 25'!$I187</f>
        <v>3246345.2553762766</v>
      </c>
      <c r="T14" s="481">
        <f>'Anexo V - ano 16 a 25'!$I188</f>
        <v>3246345.2553762766</v>
      </c>
      <c r="U14" s="481">
        <f>'Anexo V - ano 16 a 25'!$I189</f>
        <v>3246345.2553762766</v>
      </c>
      <c r="V14" s="481">
        <f>'Anexo V - ano 16 a 25'!$I190</f>
        <v>3246345.2553762766</v>
      </c>
      <c r="W14" s="481">
        <f>'Anexo V - ano 16 a 25'!$I191</f>
        <v>3246345.2553762766</v>
      </c>
      <c r="X14" s="481">
        <f>'Anexo V - ano 16 a 25'!$I192</f>
        <v>3246345.2553762766</v>
      </c>
      <c r="Y14" s="481">
        <f>'Anexo V - ano 16 a 25'!$I193</f>
        <v>2630188.6090673963</v>
      </c>
      <c r="Z14" s="481">
        <f>'Anexo V - ano 16 a 25'!$I194</f>
        <v>1397875.3164496352</v>
      </c>
      <c r="AA14" s="481">
        <f>'Anexo V - ano 16 a 25'!$I195</f>
        <v>1397875.3164496352</v>
      </c>
      <c r="AB14" s="644">
        <f>'Anexo V - ano 16 a 25'!$I196</f>
        <v>1397875.3164496352</v>
      </c>
      <c r="AC14" s="645">
        <f>SUM(D14:AB14)</f>
        <v>70697020.899208859</v>
      </c>
    </row>
    <row r="15" spans="2:29" ht="12.75" customHeight="1" x14ac:dyDescent="0.25">
      <c r="B15" s="1064" t="s">
        <v>265</v>
      </c>
      <c r="C15" s="1064"/>
      <c r="D15" s="646">
        <f t="shared" ref="D15:AB15" si="0">D13+D14</f>
        <v>4860418.461283504</v>
      </c>
      <c r="E15" s="646">
        <f t="shared" si="0"/>
        <v>19265145.591334537</v>
      </c>
      <c r="F15" s="646">
        <f t="shared" si="0"/>
        <v>34870238.679115281</v>
      </c>
      <c r="G15" s="646">
        <f t="shared" si="0"/>
        <v>35043691.719549447</v>
      </c>
      <c r="H15" s="646">
        <f t="shared" si="0"/>
        <v>35219920.008630559</v>
      </c>
      <c r="I15" s="646">
        <f t="shared" si="0"/>
        <v>36143105.942251876</v>
      </c>
      <c r="J15" s="646">
        <f t="shared" si="0"/>
        <v>35974238.603871457</v>
      </c>
      <c r="K15" s="646">
        <f t="shared" si="0"/>
        <v>35457501.821677305</v>
      </c>
      <c r="L15" s="646">
        <f t="shared" si="0"/>
        <v>36263151.277789228</v>
      </c>
      <c r="M15" s="646">
        <f t="shared" si="0"/>
        <v>36337364.092670865</v>
      </c>
      <c r="N15" s="646">
        <f t="shared" si="0"/>
        <v>37770013.420264877</v>
      </c>
      <c r="O15" s="646">
        <f t="shared" si="0"/>
        <v>37717883.810243107</v>
      </c>
      <c r="P15" s="646">
        <f t="shared" si="0"/>
        <v>37469542.09178032</v>
      </c>
      <c r="Q15" s="646">
        <f t="shared" si="0"/>
        <v>37773845.749328233</v>
      </c>
      <c r="R15" s="646">
        <f t="shared" si="0"/>
        <v>38220291.886826955</v>
      </c>
      <c r="S15" s="646">
        <f t="shared" si="0"/>
        <v>39695160.811697587</v>
      </c>
      <c r="T15" s="646">
        <f t="shared" si="0"/>
        <v>39908367.154314987</v>
      </c>
      <c r="U15" s="646">
        <f t="shared" si="0"/>
        <v>40124984.798414268</v>
      </c>
      <c r="V15" s="646">
        <f t="shared" si="0"/>
        <v>40345068.324819133</v>
      </c>
      <c r="W15" s="646">
        <f t="shared" si="0"/>
        <v>40568673.187646486</v>
      </c>
      <c r="X15" s="646">
        <f t="shared" si="0"/>
        <v>40795855.728279069</v>
      </c>
      <c r="Y15" s="646">
        <f t="shared" si="0"/>
        <v>40410516.543252893</v>
      </c>
      <c r="Z15" s="646">
        <f t="shared" si="0"/>
        <v>39412713.79129836</v>
      </c>
      <c r="AA15" s="646">
        <f t="shared" si="0"/>
        <v>39650976.500612199</v>
      </c>
      <c r="AB15" s="646">
        <f t="shared" si="0"/>
        <v>39893051.41327507</v>
      </c>
      <c r="AC15" s="645">
        <f>SUM(D15:AB15)</f>
        <v>899191721.41022766</v>
      </c>
    </row>
    <row r="16" spans="2:29" x14ac:dyDescent="0.25">
      <c r="E16" t="s">
        <v>588</v>
      </c>
    </row>
    <row r="18" spans="2:31" ht="12.75" customHeight="1" x14ac:dyDescent="0.3">
      <c r="B18" s="1067" t="s">
        <v>589</v>
      </c>
      <c r="C18" s="1067"/>
      <c r="D18" s="635" t="s">
        <v>580</v>
      </c>
      <c r="E18" s="636"/>
      <c r="F18" s="636"/>
      <c r="G18" s="636"/>
      <c r="H18" s="636"/>
      <c r="I18" s="636"/>
      <c r="J18" s="636"/>
      <c r="K18" s="636"/>
      <c r="L18" s="636"/>
      <c r="M18" s="636"/>
      <c r="N18" s="636"/>
      <c r="O18" s="636"/>
      <c r="P18" s="636"/>
      <c r="Q18" s="636"/>
      <c r="R18" s="636"/>
      <c r="S18" s="636"/>
      <c r="T18" s="636"/>
      <c r="U18" s="636"/>
      <c r="V18" s="636"/>
      <c r="W18" s="636"/>
      <c r="X18" s="636"/>
      <c r="Y18" s="636"/>
      <c r="Z18" s="636"/>
      <c r="AA18" s="636"/>
      <c r="AB18" s="647"/>
      <c r="AC18" s="7"/>
      <c r="AD18" s="7"/>
      <c r="AE18" s="7"/>
    </row>
    <row r="19" spans="2:31" ht="12.75" customHeight="1" x14ac:dyDescent="0.3">
      <c r="B19" s="638" t="s">
        <v>590</v>
      </c>
      <c r="C19" s="638" t="s">
        <v>591</v>
      </c>
      <c r="D19" s="639">
        <v>1</v>
      </c>
      <c r="E19" s="639">
        <v>2</v>
      </c>
      <c r="F19" s="639">
        <v>3</v>
      </c>
      <c r="G19" s="639">
        <v>4</v>
      </c>
      <c r="H19" s="639">
        <v>5</v>
      </c>
      <c r="I19" s="639">
        <v>6</v>
      </c>
      <c r="J19" s="639">
        <v>7</v>
      </c>
      <c r="K19" s="639">
        <v>8</v>
      </c>
      <c r="L19" s="639">
        <v>9</v>
      </c>
      <c r="M19" s="639">
        <v>10</v>
      </c>
      <c r="N19" s="639">
        <v>11</v>
      </c>
      <c r="O19" s="639">
        <v>12</v>
      </c>
      <c r="P19" s="639">
        <v>13</v>
      </c>
      <c r="Q19" s="639">
        <v>14</v>
      </c>
      <c r="R19" s="639">
        <v>15</v>
      </c>
      <c r="S19" s="639">
        <v>16</v>
      </c>
      <c r="T19" s="639">
        <v>17</v>
      </c>
      <c r="U19" s="639">
        <v>18</v>
      </c>
      <c r="V19" s="639">
        <v>19</v>
      </c>
      <c r="W19" s="639">
        <v>20</v>
      </c>
      <c r="X19" s="639">
        <v>21</v>
      </c>
      <c r="Y19" s="639">
        <v>22</v>
      </c>
      <c r="Z19" s="639">
        <v>23</v>
      </c>
      <c r="AA19" s="639">
        <v>24</v>
      </c>
      <c r="AB19" s="639">
        <v>25</v>
      </c>
      <c r="AC19" s="7"/>
      <c r="AD19" s="648" t="s">
        <v>592</v>
      </c>
      <c r="AE19" s="649">
        <f>'Anexo VIII - tarifas'!J24</f>
        <v>0.27149999999999996</v>
      </c>
    </row>
    <row r="20" spans="2:31" ht="12.75" customHeight="1" x14ac:dyDescent="0.25">
      <c r="B20" s="42" t="s">
        <v>593</v>
      </c>
      <c r="C20" s="42"/>
      <c r="D20" s="478">
        <f t="shared" ref="D20:E20" si="1">D15</f>
        <v>4860418.461283504</v>
      </c>
      <c r="E20" s="478">
        <f t="shared" si="1"/>
        <v>19265145.591334537</v>
      </c>
      <c r="F20" s="478">
        <f t="shared" ref="F20:AB20" si="2">F15</f>
        <v>34870238.679115281</v>
      </c>
      <c r="G20" s="478">
        <f t="shared" si="2"/>
        <v>35043691.719549447</v>
      </c>
      <c r="H20" s="478">
        <f t="shared" si="2"/>
        <v>35219920.008630559</v>
      </c>
      <c r="I20" s="478">
        <f t="shared" si="2"/>
        <v>36143105.942251876</v>
      </c>
      <c r="J20" s="478">
        <f t="shared" si="2"/>
        <v>35974238.603871457</v>
      </c>
      <c r="K20" s="478">
        <f t="shared" si="2"/>
        <v>35457501.821677305</v>
      </c>
      <c r="L20" s="478">
        <f t="shared" si="2"/>
        <v>36263151.277789228</v>
      </c>
      <c r="M20" s="478">
        <f t="shared" si="2"/>
        <v>36337364.092670865</v>
      </c>
      <c r="N20" s="478">
        <f t="shared" si="2"/>
        <v>37770013.420264877</v>
      </c>
      <c r="O20" s="478">
        <f t="shared" si="2"/>
        <v>37717883.810243107</v>
      </c>
      <c r="P20" s="478">
        <f t="shared" si="2"/>
        <v>37469542.09178032</v>
      </c>
      <c r="Q20" s="478">
        <f t="shared" si="2"/>
        <v>37773845.749328233</v>
      </c>
      <c r="R20" s="478">
        <f t="shared" si="2"/>
        <v>38220291.886826955</v>
      </c>
      <c r="S20" s="478">
        <f t="shared" si="2"/>
        <v>39695160.811697587</v>
      </c>
      <c r="T20" s="478">
        <f t="shared" si="2"/>
        <v>39908367.154314987</v>
      </c>
      <c r="U20" s="478">
        <f t="shared" si="2"/>
        <v>40124984.798414268</v>
      </c>
      <c r="V20" s="478">
        <f t="shared" si="2"/>
        <v>40345068.324819133</v>
      </c>
      <c r="W20" s="478">
        <f t="shared" si="2"/>
        <v>40568673.187646486</v>
      </c>
      <c r="X20" s="478">
        <f t="shared" si="2"/>
        <v>40795855.728279069</v>
      </c>
      <c r="Y20" s="478">
        <f t="shared" si="2"/>
        <v>40410516.543252893</v>
      </c>
      <c r="Z20" s="478">
        <f t="shared" si="2"/>
        <v>39412713.79129836</v>
      </c>
      <c r="AA20" s="478">
        <f t="shared" si="2"/>
        <v>39650976.500612199</v>
      </c>
      <c r="AB20" s="478">
        <f t="shared" si="2"/>
        <v>39893051.41327507</v>
      </c>
      <c r="AC20" s="7"/>
      <c r="AD20" s="758" t="s">
        <v>557</v>
      </c>
      <c r="AE20" s="759">
        <f>'Anexo VIII - tarifas'!J26</f>
        <v>26.3292</v>
      </c>
    </row>
    <row r="21" spans="2:31" ht="12.75" customHeight="1" x14ac:dyDescent="0.3">
      <c r="B21" s="650" t="s">
        <v>594</v>
      </c>
      <c r="C21" s="651">
        <v>0</v>
      </c>
      <c r="D21" s="652">
        <f t="shared" ref="D21:AB21" si="3">$C21*D26/100</f>
        <v>0</v>
      </c>
      <c r="E21" s="652">
        <f t="shared" si="3"/>
        <v>0</v>
      </c>
      <c r="F21" s="652">
        <f t="shared" si="3"/>
        <v>0</v>
      </c>
      <c r="G21" s="652">
        <f t="shared" si="3"/>
        <v>0</v>
      </c>
      <c r="H21" s="653">
        <f t="shared" si="3"/>
        <v>0</v>
      </c>
      <c r="I21" s="652">
        <f t="shared" si="3"/>
        <v>0</v>
      </c>
      <c r="J21" s="652">
        <f t="shared" si="3"/>
        <v>0</v>
      </c>
      <c r="K21" s="652">
        <f t="shared" si="3"/>
        <v>0</v>
      </c>
      <c r="L21" s="652">
        <f t="shared" si="3"/>
        <v>0</v>
      </c>
      <c r="M21" s="652">
        <f t="shared" si="3"/>
        <v>0</v>
      </c>
      <c r="N21" s="652">
        <f t="shared" si="3"/>
        <v>0</v>
      </c>
      <c r="O21" s="652">
        <f t="shared" si="3"/>
        <v>0</v>
      </c>
      <c r="P21" s="652">
        <f t="shared" si="3"/>
        <v>0</v>
      </c>
      <c r="Q21" s="652">
        <f t="shared" si="3"/>
        <v>0</v>
      </c>
      <c r="R21" s="652">
        <f t="shared" si="3"/>
        <v>0</v>
      </c>
      <c r="S21" s="652">
        <f t="shared" si="3"/>
        <v>0</v>
      </c>
      <c r="T21" s="652">
        <f t="shared" si="3"/>
        <v>0</v>
      </c>
      <c r="U21" s="652">
        <f t="shared" si="3"/>
        <v>0</v>
      </c>
      <c r="V21" s="652">
        <f t="shared" si="3"/>
        <v>0</v>
      </c>
      <c r="W21" s="652">
        <f t="shared" si="3"/>
        <v>0</v>
      </c>
      <c r="X21" s="652">
        <f t="shared" si="3"/>
        <v>0</v>
      </c>
      <c r="Y21" s="652">
        <f t="shared" si="3"/>
        <v>0</v>
      </c>
      <c r="Z21" s="652">
        <f t="shared" si="3"/>
        <v>0</v>
      </c>
      <c r="AA21" s="652">
        <f t="shared" si="3"/>
        <v>0</v>
      </c>
      <c r="AB21" s="652">
        <f t="shared" si="3"/>
        <v>0</v>
      </c>
      <c r="AC21" s="7"/>
      <c r="AD21" s="758" t="s">
        <v>595</v>
      </c>
      <c r="AE21" s="759">
        <f>'Anexo VIII - tarifas'!G29</f>
        <v>512.63702128365492</v>
      </c>
    </row>
    <row r="22" spans="2:31" ht="12.75" customHeight="1" x14ac:dyDescent="0.3">
      <c r="B22" s="42" t="s">
        <v>596</v>
      </c>
      <c r="C22" s="654">
        <v>9.25</v>
      </c>
      <c r="D22" s="478">
        <f t="shared" ref="D22:AB22" si="4">$C22*D26/100</f>
        <v>617991.35074738716</v>
      </c>
      <c r="E22" s="478">
        <f t="shared" si="4"/>
        <v>2449520.2298260406</v>
      </c>
      <c r="F22" s="478">
        <f t="shared" si="4"/>
        <v>4433672.9592002248</v>
      </c>
      <c r="G22" s="478">
        <f t="shared" si="4"/>
        <v>4455727.1258533662</v>
      </c>
      <c r="H22" s="655">
        <f t="shared" si="4"/>
        <v>4478134.1591729578</v>
      </c>
      <c r="I22" s="478">
        <f t="shared" si="4"/>
        <v>4595515.1885337438</v>
      </c>
      <c r="J22" s="478">
        <f t="shared" si="4"/>
        <v>4574044.0836537592</v>
      </c>
      <c r="K22" s="478">
        <f t="shared" si="4"/>
        <v>4508342.1560208257</v>
      </c>
      <c r="L22" s="478">
        <f t="shared" si="4"/>
        <v>4610778.6848048158</v>
      </c>
      <c r="M22" s="478">
        <f t="shared" si="4"/>
        <v>4620214.67844956</v>
      </c>
      <c r="N22" s="478">
        <f t="shared" si="4"/>
        <v>4802372.8403773215</v>
      </c>
      <c r="O22" s="478">
        <f t="shared" si="4"/>
        <v>4795744.6769037629</v>
      </c>
      <c r="P22" s="478">
        <f t="shared" si="4"/>
        <v>4764168.582116398</v>
      </c>
      <c r="Q22" s="478">
        <f t="shared" si="4"/>
        <v>4802860.1124575417</v>
      </c>
      <c r="R22" s="478">
        <f t="shared" si="4"/>
        <v>4859624.7416240452</v>
      </c>
      <c r="S22" s="478">
        <f t="shared" si="4"/>
        <v>5047151.0310405875</v>
      </c>
      <c r="T22" s="478">
        <f t="shared" si="4"/>
        <v>5074259.7412702898</v>
      </c>
      <c r="U22" s="478">
        <f t="shared" si="4"/>
        <v>5101802.1908636698</v>
      </c>
      <c r="V22" s="478">
        <f t="shared" si="4"/>
        <v>5129785.3196505429</v>
      </c>
      <c r="W22" s="478">
        <f t="shared" si="4"/>
        <v>5158216.1784980064</v>
      </c>
      <c r="X22" s="478">
        <f t="shared" si="4"/>
        <v>5187101.9310870292</v>
      </c>
      <c r="Y22" s="478">
        <f t="shared" si="4"/>
        <v>5138106.914434216</v>
      </c>
      <c r="Z22" s="478">
        <f t="shared" si="4"/>
        <v>5011238.5232922323</v>
      </c>
      <c r="AA22" s="478">
        <f t="shared" si="4"/>
        <v>5041533.0945795579</v>
      </c>
      <c r="AB22" s="478">
        <f t="shared" si="4"/>
        <v>5072312.3790074829</v>
      </c>
      <c r="AC22" s="7"/>
      <c r="AD22" s="7"/>
      <c r="AE22" s="7"/>
    </row>
    <row r="23" spans="2:31" ht="12.75" customHeight="1" x14ac:dyDescent="0.3">
      <c r="B23" s="42" t="s">
        <v>597</v>
      </c>
      <c r="C23" s="654">
        <v>3</v>
      </c>
      <c r="D23" s="478">
        <f t="shared" ref="D23:AB23" si="5">$C23*D26/100</f>
        <v>200429.62726942287</v>
      </c>
      <c r="E23" s="478">
        <f t="shared" si="5"/>
        <v>794438.99345709418</v>
      </c>
      <c r="F23" s="478">
        <f t="shared" si="5"/>
        <v>1437947.9867676408</v>
      </c>
      <c r="G23" s="478">
        <f t="shared" si="5"/>
        <v>1445100.6894659568</v>
      </c>
      <c r="H23" s="655">
        <f t="shared" si="5"/>
        <v>1452367.8354074457</v>
      </c>
      <c r="I23" s="478">
        <f t="shared" si="5"/>
        <v>1490437.3584433764</v>
      </c>
      <c r="J23" s="478">
        <f t="shared" si="5"/>
        <v>1483473.7568606788</v>
      </c>
      <c r="K23" s="478">
        <f t="shared" si="5"/>
        <v>1462165.0235743218</v>
      </c>
      <c r="L23" s="478">
        <f t="shared" si="5"/>
        <v>1495387.6815583187</v>
      </c>
      <c r="M23" s="478">
        <f t="shared" si="5"/>
        <v>1498448.0038214792</v>
      </c>
      <c r="N23" s="478">
        <f t="shared" si="5"/>
        <v>1557526.3266088609</v>
      </c>
      <c r="O23" s="478">
        <f t="shared" si="5"/>
        <v>1555376.6519687879</v>
      </c>
      <c r="P23" s="478">
        <f t="shared" si="5"/>
        <v>1545135.7563620752</v>
      </c>
      <c r="Q23" s="478">
        <f t="shared" si="5"/>
        <v>1557684.3607970404</v>
      </c>
      <c r="R23" s="478">
        <f t="shared" si="5"/>
        <v>1576094.5107969877</v>
      </c>
      <c r="S23" s="478">
        <f t="shared" si="5"/>
        <v>1636913.8479050554</v>
      </c>
      <c r="T23" s="478">
        <f t="shared" si="5"/>
        <v>1645705.8620336074</v>
      </c>
      <c r="U23" s="478">
        <f t="shared" si="5"/>
        <v>1654638.5483882173</v>
      </c>
      <c r="V23" s="478">
        <f t="shared" si="5"/>
        <v>1663714.1577245004</v>
      </c>
      <c r="W23" s="478">
        <f t="shared" si="5"/>
        <v>1672934.9768101641</v>
      </c>
      <c r="X23" s="478">
        <f t="shared" si="5"/>
        <v>1682303.3290011988</v>
      </c>
      <c r="Y23" s="478">
        <f t="shared" si="5"/>
        <v>1666413.0533300161</v>
      </c>
      <c r="Z23" s="478">
        <f t="shared" si="5"/>
        <v>1625266.5480947781</v>
      </c>
      <c r="AA23" s="478">
        <f t="shared" si="5"/>
        <v>1635091.8144582349</v>
      </c>
      <c r="AB23" s="478">
        <f t="shared" si="5"/>
        <v>1645074.2850835081</v>
      </c>
      <c r="AC23" s="7"/>
      <c r="AD23" s="7"/>
      <c r="AE23" s="7"/>
    </row>
    <row r="24" spans="2:31" s="860" customFormat="1" ht="12.75" customHeight="1" x14ac:dyDescent="0.3">
      <c r="B24" s="857" t="s">
        <v>598</v>
      </c>
      <c r="C24" s="858">
        <v>15</v>
      </c>
      <c r="D24" s="859">
        <f t="shared" ref="D24:AB24" si="6">$C24*D26/100</f>
        <v>1002148.1363471143</v>
      </c>
      <c r="E24" s="859">
        <f t="shared" si="6"/>
        <v>3972194.967285471</v>
      </c>
      <c r="F24" s="859">
        <f t="shared" si="6"/>
        <v>7189739.9338382026</v>
      </c>
      <c r="G24" s="859">
        <f t="shared" si="6"/>
        <v>7225503.4473297819</v>
      </c>
      <c r="H24" s="858">
        <f t="shared" si="6"/>
        <v>7261839.1770372298</v>
      </c>
      <c r="I24" s="859">
        <f t="shared" si="6"/>
        <v>7452186.7922168812</v>
      </c>
      <c r="J24" s="859">
        <f t="shared" si="6"/>
        <v>7417368.7843033932</v>
      </c>
      <c r="K24" s="859">
        <f t="shared" si="6"/>
        <v>7310825.1178716086</v>
      </c>
      <c r="L24" s="859">
        <f t="shared" si="6"/>
        <v>7476938.4077915931</v>
      </c>
      <c r="M24" s="859">
        <f t="shared" si="6"/>
        <v>7492240.0191073958</v>
      </c>
      <c r="N24" s="859">
        <f t="shared" si="6"/>
        <v>7787631.6330443053</v>
      </c>
      <c r="O24" s="859">
        <f t="shared" si="6"/>
        <v>7776883.2598439399</v>
      </c>
      <c r="P24" s="859">
        <f t="shared" si="6"/>
        <v>7725678.7818103759</v>
      </c>
      <c r="Q24" s="859">
        <f t="shared" si="6"/>
        <v>7788421.8039852027</v>
      </c>
      <c r="R24" s="859">
        <f t="shared" si="6"/>
        <v>7880472.5539849391</v>
      </c>
      <c r="S24" s="859">
        <f t="shared" si="6"/>
        <v>8184569.2395252762</v>
      </c>
      <c r="T24" s="859">
        <f t="shared" si="6"/>
        <v>8228529.3101680372</v>
      </c>
      <c r="U24" s="859">
        <f t="shared" si="6"/>
        <v>8273192.741941086</v>
      </c>
      <c r="V24" s="859">
        <f t="shared" si="6"/>
        <v>8318570.7886225013</v>
      </c>
      <c r="W24" s="859">
        <f t="shared" si="6"/>
        <v>8364674.884050821</v>
      </c>
      <c r="X24" s="859">
        <f t="shared" si="6"/>
        <v>8411516.6450059935</v>
      </c>
      <c r="Y24" s="859">
        <f t="shared" si="6"/>
        <v>8332065.2666500807</v>
      </c>
      <c r="Z24" s="859">
        <f t="shared" si="6"/>
        <v>8126332.7404738888</v>
      </c>
      <c r="AA24" s="859">
        <f t="shared" si="6"/>
        <v>8175459.072291174</v>
      </c>
      <c r="AB24" s="859">
        <f t="shared" si="6"/>
        <v>8225371.4254175397</v>
      </c>
      <c r="AC24" s="768"/>
      <c r="AD24" s="768"/>
      <c r="AE24" s="768"/>
    </row>
    <row r="25" spans="2:31" ht="12.75" customHeight="1" x14ac:dyDescent="0.3">
      <c r="B25" s="42" t="s">
        <v>599</v>
      </c>
      <c r="C25" s="656">
        <f>SUM(C21:C24)</f>
        <v>27.25</v>
      </c>
      <c r="D25" s="478"/>
      <c r="E25" s="478"/>
      <c r="F25" s="478"/>
      <c r="G25" s="478"/>
      <c r="H25" s="655"/>
      <c r="I25" s="478"/>
      <c r="J25" s="478"/>
      <c r="K25" s="478"/>
      <c r="L25" s="478"/>
      <c r="M25" s="478"/>
      <c r="N25" s="478"/>
      <c r="O25" s="478"/>
      <c r="P25" s="478"/>
      <c r="Q25" s="478"/>
      <c r="R25" s="478"/>
      <c r="S25" s="478"/>
      <c r="T25" s="478"/>
      <c r="U25" s="478"/>
      <c r="V25" s="478"/>
      <c r="W25" s="478"/>
      <c r="X25" s="478"/>
      <c r="Y25" s="478"/>
      <c r="Z25" s="478"/>
      <c r="AA25" s="478"/>
      <c r="AB25" s="478"/>
      <c r="AC25" s="7"/>
      <c r="AD25" s="7"/>
      <c r="AE25" s="7"/>
    </row>
    <row r="26" spans="2:31" ht="12.75" customHeight="1" x14ac:dyDescent="0.3">
      <c r="B26" s="42" t="s">
        <v>600</v>
      </c>
      <c r="C26" s="42"/>
      <c r="D26" s="478">
        <f t="shared" ref="D26:AB26" si="7">D20/$C29*100</f>
        <v>6680987.5756474286</v>
      </c>
      <c r="E26" s="478">
        <f t="shared" si="7"/>
        <v>26481299.78190314</v>
      </c>
      <c r="F26" s="478">
        <f t="shared" si="7"/>
        <v>47931599.558921352</v>
      </c>
      <c r="G26" s="478">
        <f t="shared" si="7"/>
        <v>48170022.982198551</v>
      </c>
      <c r="H26" s="655">
        <f t="shared" si="7"/>
        <v>48412261.180248193</v>
      </c>
      <c r="I26" s="478">
        <f t="shared" si="7"/>
        <v>49681245.281445876</v>
      </c>
      <c r="J26" s="478">
        <f t="shared" si="7"/>
        <v>49449125.228689291</v>
      </c>
      <c r="K26" s="478">
        <f t="shared" si="7"/>
        <v>48738834.11914406</v>
      </c>
      <c r="L26" s="478">
        <f t="shared" si="7"/>
        <v>49846256.051943958</v>
      </c>
      <c r="M26" s="478">
        <f t="shared" si="7"/>
        <v>49948266.7940493</v>
      </c>
      <c r="N26" s="478">
        <f t="shared" si="7"/>
        <v>51917544.220295362</v>
      </c>
      <c r="O26" s="478">
        <f t="shared" si="7"/>
        <v>51845888.398959599</v>
      </c>
      <c r="P26" s="478">
        <f t="shared" si="7"/>
        <v>51504525.212069169</v>
      </c>
      <c r="Q26" s="478">
        <f t="shared" si="7"/>
        <v>51922812.026568018</v>
      </c>
      <c r="R26" s="478">
        <f t="shared" si="7"/>
        <v>52536483.693232924</v>
      </c>
      <c r="S26" s="478">
        <f t="shared" si="7"/>
        <v>54563794.930168509</v>
      </c>
      <c r="T26" s="478">
        <f t="shared" si="7"/>
        <v>54856862.067786917</v>
      </c>
      <c r="U26" s="478">
        <f t="shared" si="7"/>
        <v>55154618.279607244</v>
      </c>
      <c r="V26" s="478">
        <f t="shared" si="7"/>
        <v>55457138.590816677</v>
      </c>
      <c r="W26" s="478">
        <f t="shared" si="7"/>
        <v>55764499.227005474</v>
      </c>
      <c r="X26" s="478">
        <f t="shared" si="7"/>
        <v>56076777.63337329</v>
      </c>
      <c r="Y26" s="478">
        <f t="shared" si="7"/>
        <v>55547101.777667202</v>
      </c>
      <c r="Z26" s="478">
        <f t="shared" si="7"/>
        <v>54175551.603159264</v>
      </c>
      <c r="AA26" s="478">
        <f t="shared" si="7"/>
        <v>54503060.481941164</v>
      </c>
      <c r="AB26" s="478">
        <f t="shared" si="7"/>
        <v>54835809.502783604</v>
      </c>
      <c r="AC26" s="7"/>
      <c r="AD26" s="7"/>
      <c r="AE26" s="7"/>
    </row>
    <row r="27" spans="2:31" ht="12.75" customHeight="1" x14ac:dyDescent="0.3">
      <c r="B27" s="42" t="s">
        <v>601</v>
      </c>
      <c r="C27" s="655">
        <v>25</v>
      </c>
      <c r="D27" s="935">
        <f t="shared" ref="D27:X27" si="8">$C27*D24/100</f>
        <v>250537.03408677859</v>
      </c>
      <c r="E27" s="935">
        <f t="shared" si="8"/>
        <v>993048.74182136776</v>
      </c>
      <c r="F27" s="935">
        <f t="shared" si="8"/>
        <v>1797434.9834595507</v>
      </c>
      <c r="G27" s="935">
        <f t="shared" si="8"/>
        <v>1806375.8618324455</v>
      </c>
      <c r="H27" s="936">
        <f t="shared" si="8"/>
        <v>1815459.7942593074</v>
      </c>
      <c r="I27" s="935">
        <f t="shared" si="8"/>
        <v>1863046.6980542203</v>
      </c>
      <c r="J27" s="935">
        <f t="shared" si="8"/>
        <v>1854342.1960758483</v>
      </c>
      <c r="K27" s="935">
        <f t="shared" si="8"/>
        <v>1827706.2794679021</v>
      </c>
      <c r="L27" s="935">
        <f t="shared" si="8"/>
        <v>1869234.6019478983</v>
      </c>
      <c r="M27" s="935">
        <f t="shared" si="8"/>
        <v>1873060.0047768489</v>
      </c>
      <c r="N27" s="935">
        <f t="shared" si="8"/>
        <v>1946907.9082610763</v>
      </c>
      <c r="O27" s="935">
        <f t="shared" si="8"/>
        <v>1944220.814960985</v>
      </c>
      <c r="P27" s="935">
        <f t="shared" si="8"/>
        <v>1931419.695452594</v>
      </c>
      <c r="Q27" s="935">
        <f t="shared" si="8"/>
        <v>1947105.4509963007</v>
      </c>
      <c r="R27" s="935">
        <f t="shared" si="8"/>
        <v>1970118.1384962348</v>
      </c>
      <c r="S27" s="935">
        <f t="shared" si="8"/>
        <v>2046142.3098813191</v>
      </c>
      <c r="T27" s="935">
        <f t="shared" si="8"/>
        <v>2057132.3275420093</v>
      </c>
      <c r="U27" s="935">
        <f t="shared" si="8"/>
        <v>2068298.1854852715</v>
      </c>
      <c r="V27" s="935">
        <f t="shared" si="8"/>
        <v>2079642.6971556253</v>
      </c>
      <c r="W27" s="935">
        <f t="shared" si="8"/>
        <v>2091168.7210127052</v>
      </c>
      <c r="X27" s="935">
        <f t="shared" si="8"/>
        <v>2102879.1612514984</v>
      </c>
      <c r="Y27" s="935">
        <f t="shared" ref="Y27:AB27" si="9">$C27*Y24/100</f>
        <v>2083016.3166625202</v>
      </c>
      <c r="Z27" s="935">
        <f t="shared" si="9"/>
        <v>2031583.1851184722</v>
      </c>
      <c r="AA27" s="935">
        <f t="shared" si="9"/>
        <v>2043864.7680727935</v>
      </c>
      <c r="AB27" s="935">
        <f t="shared" si="9"/>
        <v>2056342.8563543849</v>
      </c>
      <c r="AC27" s="7"/>
      <c r="AD27" s="7"/>
      <c r="AE27" s="7"/>
    </row>
    <row r="28" spans="2:31" ht="12.75" customHeight="1" x14ac:dyDescent="0.3">
      <c r="B28" s="42" t="s">
        <v>602</v>
      </c>
      <c r="C28" s="934">
        <v>9</v>
      </c>
      <c r="D28" s="930">
        <f t="shared" ref="D28:AB28" si="10">D24*$C28/100</f>
        <v>90193.332271240302</v>
      </c>
      <c r="E28" s="931">
        <f t="shared" si="10"/>
        <v>357497.54705569235</v>
      </c>
      <c r="F28" s="931">
        <f t="shared" si="10"/>
        <v>647076.59404543822</v>
      </c>
      <c r="G28" s="931">
        <f t="shared" si="10"/>
        <v>650295.31025968038</v>
      </c>
      <c r="H28" s="932">
        <f t="shared" si="10"/>
        <v>653565.52593335067</v>
      </c>
      <c r="I28" s="931">
        <f t="shared" si="10"/>
        <v>670696.81129951926</v>
      </c>
      <c r="J28" s="931">
        <f t="shared" si="10"/>
        <v>667563.19058730546</v>
      </c>
      <c r="K28" s="931">
        <f t="shared" si="10"/>
        <v>657974.26060844481</v>
      </c>
      <c r="L28" s="931">
        <f t="shared" si="10"/>
        <v>672924.45670124341</v>
      </c>
      <c r="M28" s="931">
        <f t="shared" si="10"/>
        <v>674301.60171966569</v>
      </c>
      <c r="N28" s="931">
        <f t="shared" si="10"/>
        <v>700886.84697398753</v>
      </c>
      <c r="O28" s="931">
        <f t="shared" si="10"/>
        <v>699919.49338595464</v>
      </c>
      <c r="P28" s="931">
        <f t="shared" si="10"/>
        <v>695311.09036293393</v>
      </c>
      <c r="Q28" s="931">
        <f t="shared" si="10"/>
        <v>700957.96235866833</v>
      </c>
      <c r="R28" s="931">
        <f t="shared" si="10"/>
        <v>709242.52985864447</v>
      </c>
      <c r="S28" s="931">
        <f t="shared" si="10"/>
        <v>736611.23155727494</v>
      </c>
      <c r="T28" s="931">
        <f t="shared" si="10"/>
        <v>740567.63791512337</v>
      </c>
      <c r="U28" s="931">
        <f t="shared" si="10"/>
        <v>744587.34677469777</v>
      </c>
      <c r="V28" s="931">
        <f t="shared" si="10"/>
        <v>748671.37097602512</v>
      </c>
      <c r="W28" s="931">
        <f t="shared" si="10"/>
        <v>752820.73956457386</v>
      </c>
      <c r="X28" s="931">
        <f t="shared" si="10"/>
        <v>757036.49805053952</v>
      </c>
      <c r="Y28" s="931">
        <f t="shared" si="10"/>
        <v>749885.87399850728</v>
      </c>
      <c r="Z28" s="931">
        <f t="shared" si="10"/>
        <v>731369.94664265006</v>
      </c>
      <c r="AA28" s="931">
        <f t="shared" si="10"/>
        <v>735791.31650620559</v>
      </c>
      <c r="AB28" s="933">
        <f t="shared" si="10"/>
        <v>740283.42828757851</v>
      </c>
      <c r="AC28" s="7"/>
      <c r="AD28" s="7"/>
      <c r="AE28" s="7"/>
    </row>
    <row r="29" spans="2:31" ht="12.75" customHeight="1" x14ac:dyDescent="0.3">
      <c r="B29" s="42" t="s">
        <v>599</v>
      </c>
      <c r="C29" s="929">
        <f>100-C25</f>
        <v>72.75</v>
      </c>
      <c r="D29" s="937"/>
      <c r="E29" s="937"/>
      <c r="F29" s="937"/>
      <c r="G29" s="937"/>
      <c r="H29" s="938"/>
      <c r="I29" s="937"/>
      <c r="J29" s="937"/>
      <c r="K29" s="937"/>
      <c r="L29" s="937"/>
      <c r="M29" s="937"/>
      <c r="N29" s="937"/>
      <c r="O29" s="937"/>
      <c r="P29" s="937"/>
      <c r="Q29" s="937"/>
      <c r="R29" s="937"/>
      <c r="S29" s="937"/>
      <c r="T29" s="937"/>
      <c r="U29" s="937"/>
      <c r="V29" s="937"/>
      <c r="W29" s="937"/>
      <c r="X29" s="937"/>
      <c r="Y29" s="937"/>
      <c r="Z29" s="937"/>
      <c r="AA29" s="937"/>
      <c r="AB29" s="937"/>
      <c r="AC29" s="7"/>
      <c r="AD29" s="7"/>
      <c r="AE29" s="7"/>
    </row>
    <row r="30" spans="2:31" ht="12.75" customHeight="1" x14ac:dyDescent="0.3">
      <c r="B30" s="1064" t="s">
        <v>603</v>
      </c>
      <c r="C30" s="1064"/>
      <c r="D30" s="484">
        <f t="shared" ref="D30:AB30" si="11">D24-D27-D28</f>
        <v>661417.76998909551</v>
      </c>
      <c r="E30" s="484">
        <f t="shared" si="11"/>
        <v>2621648.6784084109</v>
      </c>
      <c r="F30" s="484">
        <f t="shared" si="11"/>
        <v>4745228.3563332139</v>
      </c>
      <c r="G30" s="484">
        <f t="shared" si="11"/>
        <v>4768832.2752376562</v>
      </c>
      <c r="H30" s="657">
        <f t="shared" si="11"/>
        <v>4792813.8568445714</v>
      </c>
      <c r="I30" s="484">
        <f t="shared" si="11"/>
        <v>4918443.282863141</v>
      </c>
      <c r="J30" s="484">
        <f t="shared" si="11"/>
        <v>4895463.3976402394</v>
      </c>
      <c r="K30" s="484">
        <f t="shared" si="11"/>
        <v>4825144.5777952615</v>
      </c>
      <c r="L30" s="484">
        <f t="shared" si="11"/>
        <v>4934779.3491424518</v>
      </c>
      <c r="M30" s="484">
        <f t="shared" si="11"/>
        <v>4944878.412610882</v>
      </c>
      <c r="N30" s="484">
        <f t="shared" si="11"/>
        <v>5139836.8778092414</v>
      </c>
      <c r="O30" s="484">
        <f t="shared" si="11"/>
        <v>5132742.9514970006</v>
      </c>
      <c r="P30" s="484">
        <f t="shared" si="11"/>
        <v>5098947.9959948473</v>
      </c>
      <c r="Q30" s="484">
        <f t="shared" si="11"/>
        <v>5140358.390630234</v>
      </c>
      <c r="R30" s="484">
        <f t="shared" si="11"/>
        <v>5201111.88563006</v>
      </c>
      <c r="S30" s="484">
        <f t="shared" si="11"/>
        <v>5401815.6980866818</v>
      </c>
      <c r="T30" s="484">
        <f t="shared" si="11"/>
        <v>5430829.3447109051</v>
      </c>
      <c r="U30" s="484">
        <f t="shared" si="11"/>
        <v>5460307.209681116</v>
      </c>
      <c r="V30" s="484">
        <f t="shared" si="11"/>
        <v>5490256.7204908505</v>
      </c>
      <c r="W30" s="484">
        <f t="shared" si="11"/>
        <v>5520685.4234735426</v>
      </c>
      <c r="X30" s="484">
        <f t="shared" si="11"/>
        <v>5551600.9857039554</v>
      </c>
      <c r="Y30" s="484">
        <f t="shared" si="11"/>
        <v>5499163.0759890536</v>
      </c>
      <c r="Z30" s="484">
        <f t="shared" si="11"/>
        <v>5363379.6087127663</v>
      </c>
      <c r="AA30" s="484">
        <f t="shared" si="11"/>
        <v>5395802.9877121747</v>
      </c>
      <c r="AB30" s="484">
        <f t="shared" si="11"/>
        <v>5428745.1407755762</v>
      </c>
      <c r="AC30" s="7"/>
      <c r="AD30" s="7"/>
      <c r="AE30" s="7"/>
    </row>
    <row r="33" spans="2:29" ht="12.75" customHeight="1" x14ac:dyDescent="0.3">
      <c r="B33" s="1063" t="s">
        <v>604</v>
      </c>
      <c r="C33" s="1063"/>
      <c r="D33" s="659" t="s">
        <v>580</v>
      </c>
      <c r="E33" s="660"/>
      <c r="F33" s="660"/>
      <c r="G33" s="660"/>
      <c r="H33" s="660"/>
      <c r="I33" s="660"/>
      <c r="J33" s="660"/>
      <c r="K33" s="660"/>
      <c r="L33" s="660"/>
      <c r="M33" s="660"/>
      <c r="N33" s="660"/>
      <c r="O33" s="660"/>
      <c r="P33" s="660"/>
      <c r="Q33" s="660"/>
      <c r="R33" s="660"/>
      <c r="S33" s="660"/>
      <c r="T33" s="660"/>
      <c r="U33" s="660"/>
      <c r="V33" s="660"/>
      <c r="W33" s="660"/>
      <c r="X33" s="660"/>
      <c r="Y33" s="660"/>
      <c r="Z33" s="660"/>
      <c r="AA33" s="660"/>
      <c r="AB33" s="661"/>
      <c r="AC33" s="7"/>
    </row>
    <row r="34" spans="2:29" ht="12.75" customHeight="1" x14ac:dyDescent="0.3">
      <c r="B34" s="1063"/>
      <c r="C34" s="1063"/>
      <c r="D34" s="662">
        <v>1</v>
      </c>
      <c r="E34" s="662">
        <v>2</v>
      </c>
      <c r="F34" s="662">
        <v>3</v>
      </c>
      <c r="G34" s="662">
        <v>4</v>
      </c>
      <c r="H34" s="662">
        <v>5</v>
      </c>
      <c r="I34" s="662">
        <v>6</v>
      </c>
      <c r="J34" s="662">
        <v>7</v>
      </c>
      <c r="K34" s="662">
        <v>8</v>
      </c>
      <c r="L34" s="662">
        <v>9</v>
      </c>
      <c r="M34" s="662">
        <v>10</v>
      </c>
      <c r="N34" s="662">
        <v>11</v>
      </c>
      <c r="O34" s="662">
        <v>12</v>
      </c>
      <c r="P34" s="662">
        <v>13</v>
      </c>
      <c r="Q34" s="662">
        <v>14</v>
      </c>
      <c r="R34" s="662">
        <v>15</v>
      </c>
      <c r="S34" s="662">
        <v>16</v>
      </c>
      <c r="T34" s="662">
        <v>17</v>
      </c>
      <c r="U34" s="662">
        <v>18</v>
      </c>
      <c r="V34" s="662">
        <v>19</v>
      </c>
      <c r="W34" s="662">
        <v>20</v>
      </c>
      <c r="X34" s="662">
        <v>21</v>
      </c>
      <c r="Y34" s="662">
        <v>22</v>
      </c>
      <c r="Z34" s="662">
        <v>23</v>
      </c>
      <c r="AA34" s="662">
        <v>24</v>
      </c>
      <c r="AB34" s="663">
        <v>25</v>
      </c>
      <c r="AC34" s="664" t="s">
        <v>265</v>
      </c>
    </row>
    <row r="35" spans="2:29" ht="12.75" customHeight="1" x14ac:dyDescent="0.3">
      <c r="B35" s="638"/>
      <c r="C35" s="638" t="s">
        <v>591</v>
      </c>
      <c r="D35" s="665" t="s">
        <v>583</v>
      </c>
      <c r="E35" s="665" t="s">
        <v>583</v>
      </c>
      <c r="F35" s="665" t="s">
        <v>583</v>
      </c>
      <c r="G35" s="665" t="s">
        <v>583</v>
      </c>
      <c r="H35" s="666" t="s">
        <v>583</v>
      </c>
      <c r="I35" s="665" t="s">
        <v>583</v>
      </c>
      <c r="J35" s="665" t="s">
        <v>583</v>
      </c>
      <c r="K35" s="665" t="s">
        <v>583</v>
      </c>
      <c r="L35" s="665" t="s">
        <v>583</v>
      </c>
      <c r="M35" s="665" t="s">
        <v>583</v>
      </c>
      <c r="N35" s="665" t="s">
        <v>583</v>
      </c>
      <c r="O35" s="665" t="s">
        <v>583</v>
      </c>
      <c r="P35" s="665" t="s">
        <v>583</v>
      </c>
      <c r="Q35" s="665" t="s">
        <v>583</v>
      </c>
      <c r="R35" s="665" t="s">
        <v>583</v>
      </c>
      <c r="S35" s="665" t="s">
        <v>583</v>
      </c>
      <c r="T35" s="665" t="s">
        <v>583</v>
      </c>
      <c r="U35" s="665" t="s">
        <v>583</v>
      </c>
      <c r="V35" s="665" t="s">
        <v>583</v>
      </c>
      <c r="W35" s="665" t="s">
        <v>583</v>
      </c>
      <c r="X35" s="665" t="s">
        <v>583</v>
      </c>
      <c r="Y35" s="665" t="s">
        <v>583</v>
      </c>
      <c r="Z35" s="665" t="s">
        <v>583</v>
      </c>
      <c r="AA35" s="665" t="s">
        <v>583</v>
      </c>
      <c r="AB35" s="667" t="s">
        <v>583</v>
      </c>
      <c r="AC35" s="668" t="s">
        <v>583</v>
      </c>
    </row>
    <row r="36" spans="2:29" ht="12.75" customHeight="1" x14ac:dyDescent="0.3">
      <c r="B36" s="42" t="s">
        <v>600</v>
      </c>
      <c r="C36" s="42"/>
      <c r="D36" s="669">
        <v>0</v>
      </c>
      <c r="E36" s="669">
        <f t="shared" ref="E36:AB36" si="12">E26</f>
        <v>26481299.78190314</v>
      </c>
      <c r="F36" s="669">
        <f t="shared" si="12"/>
        <v>47931599.558921352</v>
      </c>
      <c r="G36" s="669">
        <f t="shared" si="12"/>
        <v>48170022.982198551</v>
      </c>
      <c r="H36" s="669">
        <f t="shared" si="12"/>
        <v>48412261.180248193</v>
      </c>
      <c r="I36" s="669">
        <f t="shared" si="12"/>
        <v>49681245.281445876</v>
      </c>
      <c r="J36" s="669">
        <f t="shared" si="12"/>
        <v>49449125.228689291</v>
      </c>
      <c r="K36" s="669">
        <f t="shared" si="12"/>
        <v>48738834.11914406</v>
      </c>
      <c r="L36" s="669">
        <f t="shared" si="12"/>
        <v>49846256.051943958</v>
      </c>
      <c r="M36" s="669">
        <f t="shared" si="12"/>
        <v>49948266.7940493</v>
      </c>
      <c r="N36" s="669">
        <f t="shared" si="12"/>
        <v>51917544.220295362</v>
      </c>
      <c r="O36" s="669">
        <f t="shared" si="12"/>
        <v>51845888.398959599</v>
      </c>
      <c r="P36" s="669">
        <f t="shared" si="12"/>
        <v>51504525.212069169</v>
      </c>
      <c r="Q36" s="669">
        <f t="shared" si="12"/>
        <v>51922812.026568018</v>
      </c>
      <c r="R36" s="669">
        <f t="shared" si="12"/>
        <v>52536483.693232924</v>
      </c>
      <c r="S36" s="669">
        <f t="shared" si="12"/>
        <v>54563794.930168509</v>
      </c>
      <c r="T36" s="669">
        <f t="shared" si="12"/>
        <v>54856862.067786917</v>
      </c>
      <c r="U36" s="669">
        <f t="shared" si="12"/>
        <v>55154618.279607244</v>
      </c>
      <c r="V36" s="669">
        <f t="shared" si="12"/>
        <v>55457138.590816677</v>
      </c>
      <c r="W36" s="669">
        <f t="shared" si="12"/>
        <v>55764499.227005474</v>
      </c>
      <c r="X36" s="669">
        <f t="shared" si="12"/>
        <v>56076777.63337329</v>
      </c>
      <c r="Y36" s="669">
        <f t="shared" si="12"/>
        <v>55547101.777667202</v>
      </c>
      <c r="Z36" s="669">
        <f t="shared" si="12"/>
        <v>54175551.603159264</v>
      </c>
      <c r="AA36" s="669">
        <f t="shared" si="12"/>
        <v>54503060.481941164</v>
      </c>
      <c r="AB36" s="670">
        <f t="shared" si="12"/>
        <v>54835809.502783604</v>
      </c>
      <c r="AC36" s="671">
        <f>SUM(D36:AB36)</f>
        <v>1229321378.6239781</v>
      </c>
    </row>
    <row r="37" spans="2:29" ht="12.75" customHeight="1" x14ac:dyDescent="0.25">
      <c r="B37" s="42" t="s">
        <v>605</v>
      </c>
      <c r="C37" s="478">
        <f>C22</f>
        <v>9.25</v>
      </c>
      <c r="D37" s="669">
        <f t="shared" ref="D37" si="13">D36*$C37/100</f>
        <v>0</v>
      </c>
      <c r="E37" s="669">
        <f t="shared" ref="E37:AB37" si="14">E36*$C37/100</f>
        <v>2449520.2298260406</v>
      </c>
      <c r="F37" s="669">
        <f t="shared" si="14"/>
        <v>4433672.9592002248</v>
      </c>
      <c r="G37" s="669">
        <f t="shared" si="14"/>
        <v>4455727.1258533662</v>
      </c>
      <c r="H37" s="669">
        <f t="shared" si="14"/>
        <v>4478134.1591729578</v>
      </c>
      <c r="I37" s="669">
        <f t="shared" si="14"/>
        <v>4595515.1885337438</v>
      </c>
      <c r="J37" s="669">
        <f t="shared" si="14"/>
        <v>4574044.0836537592</v>
      </c>
      <c r="K37" s="669">
        <f t="shared" si="14"/>
        <v>4508342.1560208257</v>
      </c>
      <c r="L37" s="669">
        <f t="shared" si="14"/>
        <v>4610778.6848048158</v>
      </c>
      <c r="M37" s="669">
        <f t="shared" si="14"/>
        <v>4620214.67844956</v>
      </c>
      <c r="N37" s="669">
        <f t="shared" si="14"/>
        <v>4802372.8403773215</v>
      </c>
      <c r="O37" s="669">
        <f t="shared" si="14"/>
        <v>4795744.6769037629</v>
      </c>
      <c r="P37" s="669">
        <f t="shared" si="14"/>
        <v>4764168.582116398</v>
      </c>
      <c r="Q37" s="669">
        <f t="shared" si="14"/>
        <v>4802860.1124575417</v>
      </c>
      <c r="R37" s="669">
        <f t="shared" si="14"/>
        <v>4859624.7416240452</v>
      </c>
      <c r="S37" s="669">
        <f t="shared" si="14"/>
        <v>5047151.0310405875</v>
      </c>
      <c r="T37" s="669">
        <f t="shared" si="14"/>
        <v>5074259.7412702898</v>
      </c>
      <c r="U37" s="669">
        <f t="shared" si="14"/>
        <v>5101802.1908636698</v>
      </c>
      <c r="V37" s="669">
        <f t="shared" si="14"/>
        <v>5129785.3196505429</v>
      </c>
      <c r="W37" s="669">
        <f t="shared" si="14"/>
        <v>5158216.1784980064</v>
      </c>
      <c r="X37" s="669">
        <f t="shared" si="14"/>
        <v>5187101.9310870292</v>
      </c>
      <c r="Y37" s="669">
        <f t="shared" si="14"/>
        <v>5138106.914434216</v>
      </c>
      <c r="Z37" s="669">
        <f t="shared" si="14"/>
        <v>5011238.5232922323</v>
      </c>
      <c r="AA37" s="669">
        <f t="shared" si="14"/>
        <v>5041533.0945795579</v>
      </c>
      <c r="AB37" s="670">
        <f t="shared" si="14"/>
        <v>5072312.3790074829</v>
      </c>
      <c r="AC37" s="672">
        <f>AC36/25</f>
        <v>49172855.144959122</v>
      </c>
    </row>
    <row r="38" spans="2:29" ht="12.75" customHeight="1" x14ac:dyDescent="0.25">
      <c r="B38" s="42" t="s">
        <v>606</v>
      </c>
      <c r="C38" s="478">
        <f>C23</f>
        <v>3</v>
      </c>
      <c r="D38" s="669">
        <f t="shared" ref="D38" si="15">D36*$C38/100</f>
        <v>0</v>
      </c>
      <c r="E38" s="669">
        <f t="shared" ref="E38:AB38" si="16">E36*$C38/100</f>
        <v>794438.99345709418</v>
      </c>
      <c r="F38" s="669">
        <f t="shared" si="16"/>
        <v>1437947.9867676408</v>
      </c>
      <c r="G38" s="669">
        <f t="shared" si="16"/>
        <v>1445100.6894659568</v>
      </c>
      <c r="H38" s="669">
        <f t="shared" si="16"/>
        <v>1452367.8354074457</v>
      </c>
      <c r="I38" s="669">
        <f t="shared" si="16"/>
        <v>1490437.3584433764</v>
      </c>
      <c r="J38" s="669">
        <f t="shared" si="16"/>
        <v>1483473.7568606788</v>
      </c>
      <c r="K38" s="669">
        <f t="shared" si="16"/>
        <v>1462165.0235743218</v>
      </c>
      <c r="L38" s="669">
        <f t="shared" si="16"/>
        <v>1495387.6815583187</v>
      </c>
      <c r="M38" s="669">
        <f t="shared" si="16"/>
        <v>1498448.0038214792</v>
      </c>
      <c r="N38" s="669">
        <f t="shared" si="16"/>
        <v>1557526.3266088609</v>
      </c>
      <c r="O38" s="669">
        <f t="shared" si="16"/>
        <v>1555376.6519687879</v>
      </c>
      <c r="P38" s="669">
        <f t="shared" si="16"/>
        <v>1545135.7563620752</v>
      </c>
      <c r="Q38" s="669">
        <f t="shared" si="16"/>
        <v>1557684.3607970404</v>
      </c>
      <c r="R38" s="669">
        <f t="shared" si="16"/>
        <v>1576094.5107969877</v>
      </c>
      <c r="S38" s="669">
        <f t="shared" si="16"/>
        <v>1636913.8479050554</v>
      </c>
      <c r="T38" s="669">
        <f t="shared" si="16"/>
        <v>1645705.8620336074</v>
      </c>
      <c r="U38" s="669">
        <f t="shared" si="16"/>
        <v>1654638.5483882173</v>
      </c>
      <c r="V38" s="669">
        <f t="shared" si="16"/>
        <v>1663714.1577245004</v>
      </c>
      <c r="W38" s="669">
        <f t="shared" si="16"/>
        <v>1672934.9768101641</v>
      </c>
      <c r="X38" s="669">
        <f t="shared" si="16"/>
        <v>1682303.3290011988</v>
      </c>
      <c r="Y38" s="669">
        <f t="shared" si="16"/>
        <v>1666413.0533300161</v>
      </c>
      <c r="Z38" s="669">
        <f t="shared" si="16"/>
        <v>1625266.5480947781</v>
      </c>
      <c r="AA38" s="669">
        <f t="shared" si="16"/>
        <v>1635091.8144582349</v>
      </c>
      <c r="AB38" s="670">
        <f t="shared" si="16"/>
        <v>1645074.2850835081</v>
      </c>
      <c r="AC38" s="672">
        <f>AC37*0.05</f>
        <v>2458642.757247956</v>
      </c>
    </row>
    <row r="39" spans="2:29" ht="12.75" customHeight="1" x14ac:dyDescent="0.25">
      <c r="B39" s="42" t="s">
        <v>607</v>
      </c>
      <c r="C39" s="478">
        <f>C21</f>
        <v>0</v>
      </c>
      <c r="D39" s="669">
        <f t="shared" ref="D39:W39" si="17">D36*$C39/100</f>
        <v>0</v>
      </c>
      <c r="E39" s="669">
        <f>E36*$C39/100</f>
        <v>0</v>
      </c>
      <c r="F39" s="669">
        <f t="shared" si="17"/>
        <v>0</v>
      </c>
      <c r="G39" s="669">
        <f t="shared" si="17"/>
        <v>0</v>
      </c>
      <c r="H39" s="669">
        <f t="shared" si="17"/>
        <v>0</v>
      </c>
      <c r="I39" s="669">
        <f t="shared" si="17"/>
        <v>0</v>
      </c>
      <c r="J39" s="669">
        <f t="shared" ref="J39:Q39" si="18">J36*$C39/100</f>
        <v>0</v>
      </c>
      <c r="K39" s="669">
        <f t="shared" si="18"/>
        <v>0</v>
      </c>
      <c r="L39" s="669">
        <f t="shared" si="18"/>
        <v>0</v>
      </c>
      <c r="M39" s="669">
        <f t="shared" si="18"/>
        <v>0</v>
      </c>
      <c r="N39" s="669">
        <f t="shared" si="18"/>
        <v>0</v>
      </c>
      <c r="O39" s="669">
        <f t="shared" si="18"/>
        <v>0</v>
      </c>
      <c r="P39" s="669">
        <f t="shared" si="18"/>
        <v>0</v>
      </c>
      <c r="Q39" s="669">
        <f t="shared" si="18"/>
        <v>0</v>
      </c>
      <c r="R39" s="669">
        <f t="shared" si="17"/>
        <v>0</v>
      </c>
      <c r="S39" s="669">
        <f>S36*$C39/100</f>
        <v>0</v>
      </c>
      <c r="T39" s="669">
        <f>T36*$C39/100</f>
        <v>0</v>
      </c>
      <c r="U39" s="669">
        <f>U36*$C39/100</f>
        <v>0</v>
      </c>
      <c r="V39" s="669">
        <f>V36*$C39/100</f>
        <v>0</v>
      </c>
      <c r="W39" s="669">
        <f t="shared" si="17"/>
        <v>0</v>
      </c>
      <c r="X39" s="669">
        <f>X36*$C39/100</f>
        <v>0</v>
      </c>
      <c r="Y39" s="669">
        <f>Y36*$C39/100</f>
        <v>0</v>
      </c>
      <c r="Z39" s="669">
        <f>Z36*$C39/100</f>
        <v>0</v>
      </c>
      <c r="AA39" s="669">
        <f>AA36*$C39/100</f>
        <v>0</v>
      </c>
      <c r="AB39" s="670">
        <f>AB36*$C39/100</f>
        <v>0</v>
      </c>
      <c r="AC39" s="673">
        <f>500000/AC37</f>
        <v>1.0168211679513523E-2</v>
      </c>
    </row>
    <row r="40" spans="2:29" ht="12.75" customHeight="1" x14ac:dyDescent="0.25">
      <c r="B40" s="42" t="s">
        <v>608</v>
      </c>
      <c r="C40" s="42"/>
      <c r="D40" s="669">
        <f t="shared" ref="D40" si="19">D36-D37-D38-D39</f>
        <v>0</v>
      </c>
      <c r="E40" s="669">
        <f t="shared" ref="E40:AB40" si="20">E36-E37-E38-E39</f>
        <v>23237340.558620006</v>
      </c>
      <c r="F40" s="669">
        <f t="shared" si="20"/>
        <v>42059978.612953484</v>
      </c>
      <c r="G40" s="669">
        <f t="shared" si="20"/>
        <v>42269195.166879229</v>
      </c>
      <c r="H40" s="669">
        <f t="shared" si="20"/>
        <v>42481759.18566779</v>
      </c>
      <c r="I40" s="669">
        <f t="shared" si="20"/>
        <v>43595292.734468751</v>
      </c>
      <c r="J40" s="669">
        <f t="shared" si="20"/>
        <v>43391607.388174854</v>
      </c>
      <c r="K40" s="669">
        <f t="shared" si="20"/>
        <v>42768326.93954891</v>
      </c>
      <c r="L40" s="669">
        <f t="shared" si="20"/>
        <v>43740089.685580827</v>
      </c>
      <c r="M40" s="669">
        <f t="shared" si="20"/>
        <v>43829604.111778259</v>
      </c>
      <c r="N40" s="669">
        <f t="shared" si="20"/>
        <v>45557645.05330918</v>
      </c>
      <c r="O40" s="669">
        <f t="shared" si="20"/>
        <v>45494767.070087053</v>
      </c>
      <c r="P40" s="669">
        <f t="shared" si="20"/>
        <v>45195220.8735907</v>
      </c>
      <c r="Q40" s="669">
        <f t="shared" si="20"/>
        <v>45562267.553313434</v>
      </c>
      <c r="R40" s="669">
        <f t="shared" si="20"/>
        <v>46100764.440811895</v>
      </c>
      <c r="S40" s="669">
        <f t="shared" si="20"/>
        <v>47879730.051222868</v>
      </c>
      <c r="T40" s="669">
        <f t="shared" si="20"/>
        <v>48136896.464483023</v>
      </c>
      <c r="U40" s="669">
        <f t="shared" si="20"/>
        <v>48398177.540355355</v>
      </c>
      <c r="V40" s="669">
        <f t="shared" si="20"/>
        <v>48663639.113441631</v>
      </c>
      <c r="W40" s="669">
        <f t="shared" si="20"/>
        <v>48933348.071697302</v>
      </c>
      <c r="X40" s="669">
        <f t="shared" si="20"/>
        <v>49207372.373285063</v>
      </c>
      <c r="Y40" s="669">
        <f t="shared" si="20"/>
        <v>48742581.809902966</v>
      </c>
      <c r="Z40" s="669">
        <f t="shared" si="20"/>
        <v>47539046.531772256</v>
      </c>
      <c r="AA40" s="669">
        <f t="shared" si="20"/>
        <v>47826435.572903372</v>
      </c>
      <c r="AB40" s="669">
        <f t="shared" si="20"/>
        <v>48118422.838692613</v>
      </c>
      <c r="AC40" s="7"/>
    </row>
    <row r="41" spans="2:29" ht="12.75" customHeight="1" x14ac:dyDescent="0.25">
      <c r="B41" s="42" t="s">
        <v>609</v>
      </c>
      <c r="C41" s="42"/>
      <c r="D41" s="669">
        <f>D13*6.5%+D13</f>
        <v>5176345.6612669323</v>
      </c>
      <c r="E41" s="669">
        <f>E13*6.5%+E13</f>
        <v>19244653.242763426</v>
      </c>
      <c r="F41" s="669">
        <f t="shared" ref="F41:AB41" si="21">F13</f>
        <v>31222222.969797384</v>
      </c>
      <c r="G41" s="669">
        <f t="shared" si="21"/>
        <v>31395676.010231547</v>
      </c>
      <c r="H41" s="669">
        <f t="shared" si="21"/>
        <v>31571904.299312662</v>
      </c>
      <c r="I41" s="669">
        <f t="shared" si="21"/>
        <v>31776242.427870281</v>
      </c>
      <c r="J41" s="669">
        <f t="shared" si="21"/>
        <v>31958155.136643991</v>
      </c>
      <c r="K41" s="669">
        <f t="shared" si="21"/>
        <v>32142978.448758084</v>
      </c>
      <c r="L41" s="669">
        <f t="shared" si="21"/>
        <v>32948627.904870003</v>
      </c>
      <c r="M41" s="669">
        <f t="shared" si="21"/>
        <v>33022840.719751645</v>
      </c>
      <c r="N41" s="669">
        <f t="shared" si="21"/>
        <v>34485971.948223926</v>
      </c>
      <c r="O41" s="669">
        <f t="shared" si="21"/>
        <v>34682910.881178454</v>
      </c>
      <c r="P41" s="669">
        <f t="shared" si="21"/>
        <v>34932706.248668253</v>
      </c>
      <c r="Q41" s="669">
        <f t="shared" si="21"/>
        <v>35237009.906216167</v>
      </c>
      <c r="R41" s="669">
        <f t="shared" si="21"/>
        <v>35683456.043714888</v>
      </c>
      <c r="S41" s="669">
        <f t="shared" si="21"/>
        <v>36448815.556321308</v>
      </c>
      <c r="T41" s="669">
        <f t="shared" si="21"/>
        <v>36662021.898938708</v>
      </c>
      <c r="U41" s="669">
        <f t="shared" si="21"/>
        <v>36878639.543037988</v>
      </c>
      <c r="V41" s="669">
        <f t="shared" si="21"/>
        <v>37098723.069442853</v>
      </c>
      <c r="W41" s="669">
        <f t="shared" si="21"/>
        <v>37322327.932270207</v>
      </c>
      <c r="X41" s="669">
        <f t="shared" si="21"/>
        <v>37549510.47290279</v>
      </c>
      <c r="Y41" s="669">
        <f t="shared" si="21"/>
        <v>37780327.934185497</v>
      </c>
      <c r="Z41" s="669">
        <f t="shared" si="21"/>
        <v>38014838.474848725</v>
      </c>
      <c r="AA41" s="669">
        <f t="shared" si="21"/>
        <v>38253101.184162565</v>
      </c>
      <c r="AB41" s="669">
        <f t="shared" si="21"/>
        <v>38495176.096825436</v>
      </c>
      <c r="AC41" s="7"/>
    </row>
    <row r="42" spans="2:29" ht="12.75" customHeight="1" x14ac:dyDescent="0.25">
      <c r="B42" s="42" t="s">
        <v>610</v>
      </c>
      <c r="C42" s="42"/>
      <c r="D42" s="669">
        <f t="shared" ref="D42" si="22">D14</f>
        <v>0</v>
      </c>
      <c r="E42" s="669">
        <f>E14</f>
        <v>1195048.6497726331</v>
      </c>
      <c r="F42" s="669">
        <f t="shared" ref="F42:AB42" si="23">F14</f>
        <v>3648015.7093178998</v>
      </c>
      <c r="G42" s="669">
        <f t="shared" si="23"/>
        <v>3648015.7093178998</v>
      </c>
      <c r="H42" s="669">
        <f t="shared" si="23"/>
        <v>3648015.7093178998</v>
      </c>
      <c r="I42" s="669">
        <f t="shared" si="23"/>
        <v>4366863.514381594</v>
      </c>
      <c r="J42" s="669">
        <f t="shared" si="23"/>
        <v>4016083.4672274692</v>
      </c>
      <c r="K42" s="669">
        <f t="shared" si="23"/>
        <v>3314523.3729192214</v>
      </c>
      <c r="L42" s="669">
        <f t="shared" si="23"/>
        <v>3314523.3729192214</v>
      </c>
      <c r="M42" s="669">
        <f t="shared" si="23"/>
        <v>3314523.3729192214</v>
      </c>
      <c r="N42" s="669">
        <f t="shared" si="23"/>
        <v>3284041.4720409494</v>
      </c>
      <c r="O42" s="669">
        <f t="shared" si="23"/>
        <v>3034972.9290646538</v>
      </c>
      <c r="P42" s="669">
        <f t="shared" si="23"/>
        <v>2536835.8431120636</v>
      </c>
      <c r="Q42" s="669">
        <f t="shared" si="23"/>
        <v>2536835.8431120636</v>
      </c>
      <c r="R42" s="669">
        <f t="shared" si="23"/>
        <v>2536835.8431120636</v>
      </c>
      <c r="S42" s="669">
        <f t="shared" si="23"/>
        <v>3246345.2553762766</v>
      </c>
      <c r="T42" s="669">
        <f t="shared" si="23"/>
        <v>3246345.2553762766</v>
      </c>
      <c r="U42" s="669">
        <f t="shared" si="23"/>
        <v>3246345.2553762766</v>
      </c>
      <c r="V42" s="669">
        <f t="shared" si="23"/>
        <v>3246345.2553762766</v>
      </c>
      <c r="W42" s="669">
        <f t="shared" si="23"/>
        <v>3246345.2553762766</v>
      </c>
      <c r="X42" s="669">
        <f t="shared" si="23"/>
        <v>3246345.2553762766</v>
      </c>
      <c r="Y42" s="669">
        <f t="shared" si="23"/>
        <v>2630188.6090673963</v>
      </c>
      <c r="Z42" s="669">
        <f t="shared" si="23"/>
        <v>1397875.3164496352</v>
      </c>
      <c r="AA42" s="669">
        <f t="shared" si="23"/>
        <v>1397875.3164496352</v>
      </c>
      <c r="AB42" s="669">
        <f t="shared" si="23"/>
        <v>1397875.3164496352</v>
      </c>
      <c r="AC42" s="7"/>
    </row>
    <row r="43" spans="2:29" ht="12.75" customHeight="1" x14ac:dyDescent="0.25">
      <c r="B43" s="42" t="s">
        <v>611</v>
      </c>
      <c r="C43" s="42"/>
      <c r="D43" s="669">
        <f t="shared" ref="D43:AB43" si="24">D40-D41-D42</f>
        <v>-5176345.6612669323</v>
      </c>
      <c r="E43" s="669">
        <f t="shared" si="24"/>
        <v>2797638.6660839468</v>
      </c>
      <c r="F43" s="669">
        <f t="shared" si="24"/>
        <v>7189739.9338381998</v>
      </c>
      <c r="G43" s="669">
        <f t="shared" si="24"/>
        <v>7225503.4473297819</v>
      </c>
      <c r="H43" s="669">
        <f t="shared" si="24"/>
        <v>7261839.1770372279</v>
      </c>
      <c r="I43" s="669">
        <f t="shared" si="24"/>
        <v>7452186.7922168756</v>
      </c>
      <c r="J43" s="669">
        <f t="shared" si="24"/>
        <v>7417368.7843033941</v>
      </c>
      <c r="K43" s="669">
        <f t="shared" si="24"/>
        <v>7310825.1178716039</v>
      </c>
      <c r="L43" s="669">
        <f t="shared" si="24"/>
        <v>7476938.4077916024</v>
      </c>
      <c r="M43" s="669">
        <f t="shared" si="24"/>
        <v>7492240.019107393</v>
      </c>
      <c r="N43" s="669">
        <f t="shared" si="24"/>
        <v>7787631.6330443043</v>
      </c>
      <c r="O43" s="669">
        <f t="shared" si="24"/>
        <v>7776883.2598439455</v>
      </c>
      <c r="P43" s="669">
        <f t="shared" si="24"/>
        <v>7725678.7818103833</v>
      </c>
      <c r="Q43" s="669">
        <f t="shared" si="24"/>
        <v>7788421.8039852036</v>
      </c>
      <c r="R43" s="669">
        <f t="shared" si="24"/>
        <v>7880472.5539849428</v>
      </c>
      <c r="S43" s="669">
        <f t="shared" si="24"/>
        <v>8184569.2395252837</v>
      </c>
      <c r="T43" s="669">
        <f t="shared" si="24"/>
        <v>8228529.3101680381</v>
      </c>
      <c r="U43" s="669">
        <f t="shared" si="24"/>
        <v>8273192.7419410897</v>
      </c>
      <c r="V43" s="669">
        <f t="shared" si="24"/>
        <v>8318570.7886225013</v>
      </c>
      <c r="W43" s="669">
        <f t="shared" si="24"/>
        <v>8364674.8840508191</v>
      </c>
      <c r="X43" s="669">
        <f t="shared" si="24"/>
        <v>8411516.6450059973</v>
      </c>
      <c r="Y43" s="669">
        <f t="shared" si="24"/>
        <v>8332065.2666500723</v>
      </c>
      <c r="Z43" s="669">
        <f t="shared" si="24"/>
        <v>8126332.7404738963</v>
      </c>
      <c r="AA43" s="669">
        <f t="shared" si="24"/>
        <v>8175459.072291173</v>
      </c>
      <c r="AB43" s="669">
        <f t="shared" si="24"/>
        <v>8225371.4254175425</v>
      </c>
      <c r="AC43" s="7"/>
    </row>
    <row r="44" spans="2:29" ht="12.75" customHeight="1" x14ac:dyDescent="0.25">
      <c r="B44" s="42" t="s">
        <v>601</v>
      </c>
      <c r="C44" s="478">
        <v>25</v>
      </c>
      <c r="D44" s="669">
        <v>0</v>
      </c>
      <c r="E44" s="669">
        <f t="shared" ref="E44:AB44" si="25">(E43*$C44/100)-2000</f>
        <v>697409.66652098671</v>
      </c>
      <c r="F44" s="669">
        <f t="shared" si="25"/>
        <v>1795434.98345955</v>
      </c>
      <c r="G44" s="669">
        <f t="shared" si="25"/>
        <v>1804375.8618324455</v>
      </c>
      <c r="H44" s="669">
        <f t="shared" si="25"/>
        <v>1813459.794259307</v>
      </c>
      <c r="I44" s="669">
        <f t="shared" si="25"/>
        <v>1861046.6980542189</v>
      </c>
      <c r="J44" s="669">
        <f t="shared" si="25"/>
        <v>1852342.1960758485</v>
      </c>
      <c r="K44" s="669">
        <f t="shared" si="25"/>
        <v>1825706.279467901</v>
      </c>
      <c r="L44" s="669">
        <f t="shared" si="25"/>
        <v>1867234.6019479006</v>
      </c>
      <c r="M44" s="669">
        <f t="shared" si="25"/>
        <v>1871060.0047768482</v>
      </c>
      <c r="N44" s="669">
        <f t="shared" si="25"/>
        <v>1944907.9082610763</v>
      </c>
      <c r="O44" s="669">
        <f t="shared" si="25"/>
        <v>1942220.8149609864</v>
      </c>
      <c r="P44" s="669">
        <f t="shared" si="25"/>
        <v>1929419.6954525961</v>
      </c>
      <c r="Q44" s="669">
        <f t="shared" si="25"/>
        <v>1945105.4509963009</v>
      </c>
      <c r="R44" s="669">
        <f t="shared" si="25"/>
        <v>1968118.1384962357</v>
      </c>
      <c r="S44" s="669">
        <f t="shared" si="25"/>
        <v>2044142.3098813209</v>
      </c>
      <c r="T44" s="669">
        <f t="shared" si="25"/>
        <v>2055132.3275420098</v>
      </c>
      <c r="U44" s="669">
        <f t="shared" si="25"/>
        <v>2066298.1854852724</v>
      </c>
      <c r="V44" s="669">
        <f t="shared" si="25"/>
        <v>2077642.6971556253</v>
      </c>
      <c r="W44" s="669">
        <f t="shared" si="25"/>
        <v>2089168.7210127048</v>
      </c>
      <c r="X44" s="669">
        <f t="shared" si="25"/>
        <v>2100879.1612514993</v>
      </c>
      <c r="Y44" s="669">
        <f t="shared" si="25"/>
        <v>2081016.3166625181</v>
      </c>
      <c r="Z44" s="669">
        <f t="shared" si="25"/>
        <v>2029583.1851184741</v>
      </c>
      <c r="AA44" s="669">
        <f t="shared" si="25"/>
        <v>2041864.7680727933</v>
      </c>
      <c r="AB44" s="669">
        <f t="shared" si="25"/>
        <v>2054342.8563543856</v>
      </c>
      <c r="AC44" s="7"/>
    </row>
    <row r="45" spans="2:29" ht="12.75" customHeight="1" x14ac:dyDescent="0.25">
      <c r="B45" s="42" t="s">
        <v>602</v>
      </c>
      <c r="C45" s="478">
        <f>C28</f>
        <v>9</v>
      </c>
      <c r="D45" s="674">
        <v>0</v>
      </c>
      <c r="E45" s="674">
        <f t="shared" ref="E45:AB45" si="26">E43*$C45/100</f>
        <v>251787.47994755523</v>
      </c>
      <c r="F45" s="674">
        <f t="shared" si="26"/>
        <v>647076.59404543799</v>
      </c>
      <c r="G45" s="674">
        <f t="shared" si="26"/>
        <v>650295.31025968038</v>
      </c>
      <c r="H45" s="674">
        <f t="shared" si="26"/>
        <v>653565.52593335044</v>
      </c>
      <c r="I45" s="674">
        <f t="shared" si="26"/>
        <v>670696.8112995188</v>
      </c>
      <c r="J45" s="674">
        <f t="shared" si="26"/>
        <v>667563.19058730546</v>
      </c>
      <c r="K45" s="674">
        <f t="shared" si="26"/>
        <v>657974.26060844434</v>
      </c>
      <c r="L45" s="674">
        <f t="shared" si="26"/>
        <v>672924.45670124423</v>
      </c>
      <c r="M45" s="674">
        <f t="shared" si="26"/>
        <v>674301.60171966534</v>
      </c>
      <c r="N45" s="674">
        <f t="shared" si="26"/>
        <v>700886.84697398741</v>
      </c>
      <c r="O45" s="674">
        <f t="shared" si="26"/>
        <v>699919.49338595511</v>
      </c>
      <c r="P45" s="674">
        <f t="shared" si="26"/>
        <v>695311.09036293451</v>
      </c>
      <c r="Q45" s="674">
        <f t="shared" si="26"/>
        <v>700957.96235866833</v>
      </c>
      <c r="R45" s="674">
        <f t="shared" si="26"/>
        <v>709242.52985864494</v>
      </c>
      <c r="S45" s="674">
        <f t="shared" si="26"/>
        <v>736611.23155727552</v>
      </c>
      <c r="T45" s="674">
        <f t="shared" si="26"/>
        <v>740567.63791512337</v>
      </c>
      <c r="U45" s="674">
        <f t="shared" si="26"/>
        <v>744587.346774698</v>
      </c>
      <c r="V45" s="674">
        <f t="shared" si="26"/>
        <v>748671.37097602512</v>
      </c>
      <c r="W45" s="674">
        <f t="shared" si="26"/>
        <v>752820.73956457374</v>
      </c>
      <c r="X45" s="674">
        <f t="shared" si="26"/>
        <v>757036.49805053975</v>
      </c>
      <c r="Y45" s="674">
        <f t="shared" si="26"/>
        <v>749885.87399850646</v>
      </c>
      <c r="Z45" s="674">
        <f t="shared" si="26"/>
        <v>731369.94664265064</v>
      </c>
      <c r="AA45" s="674">
        <f t="shared" si="26"/>
        <v>735791.31650620548</v>
      </c>
      <c r="AB45" s="674">
        <f t="shared" si="26"/>
        <v>740283.42828757886</v>
      </c>
      <c r="AC45" s="7"/>
    </row>
    <row r="46" spans="2:29" ht="13.5" customHeight="1" x14ac:dyDescent="0.3">
      <c r="B46" s="1064" t="s">
        <v>612</v>
      </c>
      <c r="C46" s="1064"/>
      <c r="D46" s="675">
        <f t="shared" ref="D46:AB46" si="27">D43-D44-D45</f>
        <v>-5176345.6612669323</v>
      </c>
      <c r="E46" s="675">
        <f t="shared" si="27"/>
        <v>1848441.5196154048</v>
      </c>
      <c r="F46" s="675">
        <f t="shared" si="27"/>
        <v>4747228.356333212</v>
      </c>
      <c r="G46" s="675">
        <f t="shared" si="27"/>
        <v>4770832.2752376562</v>
      </c>
      <c r="H46" s="675">
        <f t="shared" si="27"/>
        <v>4794813.8568445705</v>
      </c>
      <c r="I46" s="675">
        <f t="shared" si="27"/>
        <v>4920443.2828631382</v>
      </c>
      <c r="J46" s="675">
        <f t="shared" si="27"/>
        <v>4897463.3976402404</v>
      </c>
      <c r="K46" s="675">
        <f t="shared" si="27"/>
        <v>4827144.5777952587</v>
      </c>
      <c r="L46" s="675">
        <f t="shared" si="27"/>
        <v>4936779.3491424574</v>
      </c>
      <c r="M46" s="675">
        <f t="shared" si="27"/>
        <v>4946878.4126108792</v>
      </c>
      <c r="N46" s="675">
        <f t="shared" si="27"/>
        <v>5141836.8778092405</v>
      </c>
      <c r="O46" s="675">
        <f t="shared" si="27"/>
        <v>5134742.9514970044</v>
      </c>
      <c r="P46" s="675">
        <f t="shared" si="27"/>
        <v>5100947.9959948529</v>
      </c>
      <c r="Q46" s="675">
        <f t="shared" si="27"/>
        <v>5142358.390630234</v>
      </c>
      <c r="R46" s="675">
        <f t="shared" si="27"/>
        <v>5203111.8856300618</v>
      </c>
      <c r="S46" s="675">
        <f t="shared" si="27"/>
        <v>5403815.6980866874</v>
      </c>
      <c r="T46" s="675">
        <f t="shared" si="27"/>
        <v>5432829.3447109051</v>
      </c>
      <c r="U46" s="675">
        <f t="shared" si="27"/>
        <v>5462307.2096811188</v>
      </c>
      <c r="V46" s="675">
        <f t="shared" si="27"/>
        <v>5492256.7204908505</v>
      </c>
      <c r="W46" s="675">
        <f t="shared" si="27"/>
        <v>5522685.4234735407</v>
      </c>
      <c r="X46" s="675">
        <f t="shared" si="27"/>
        <v>5553600.9857039582</v>
      </c>
      <c r="Y46" s="675">
        <f t="shared" si="27"/>
        <v>5501163.0759890471</v>
      </c>
      <c r="Z46" s="675">
        <f t="shared" si="27"/>
        <v>5365379.6087127719</v>
      </c>
      <c r="AA46" s="675">
        <f t="shared" si="27"/>
        <v>5397802.9877121747</v>
      </c>
      <c r="AB46" s="675">
        <f t="shared" si="27"/>
        <v>5430745.1407755781</v>
      </c>
      <c r="AC46" s="676">
        <f>SUM(D46:AB46)</f>
        <v>115799263.66371393</v>
      </c>
    </row>
    <row r="47" spans="2:29" ht="12.75" customHeight="1" x14ac:dyDescent="0.3">
      <c r="B47" s="330" t="s">
        <v>613</v>
      </c>
      <c r="C47" s="309"/>
      <c r="D47" s="677"/>
      <c r="E47" s="677">
        <f t="shared" ref="E47:AB47" si="28">E46/E36</f>
        <v>6.9801767089944636E-2</v>
      </c>
      <c r="F47" s="677">
        <f t="shared" si="28"/>
        <v>9.9041726126780721E-2</v>
      </c>
      <c r="G47" s="677">
        <f t="shared" si="28"/>
        <v>9.9041519598210254E-2</v>
      </c>
      <c r="H47" s="677">
        <f t="shared" si="28"/>
        <v>9.9041311848511948E-2</v>
      </c>
      <c r="I47" s="677">
        <f t="shared" si="28"/>
        <v>9.9040256639878213E-2</v>
      </c>
      <c r="J47" s="677">
        <f t="shared" si="28"/>
        <v>9.9040445609315658E-2</v>
      </c>
      <c r="K47" s="677">
        <f t="shared" si="28"/>
        <v>9.9041035039843336E-2</v>
      </c>
      <c r="L47" s="677">
        <f t="shared" si="28"/>
        <v>9.904012337452027E-2</v>
      </c>
      <c r="M47" s="677">
        <f t="shared" si="28"/>
        <v>9.9040041429430278E-2</v>
      </c>
      <c r="N47" s="677">
        <f t="shared" si="28"/>
        <v>9.9038522623325811E-2</v>
      </c>
      <c r="O47" s="677">
        <f t="shared" si="28"/>
        <v>9.9038575865160489E-2</v>
      </c>
      <c r="P47" s="677">
        <f t="shared" si="28"/>
        <v>9.9038831539399116E-2</v>
      </c>
      <c r="Q47" s="677">
        <f t="shared" si="28"/>
        <v>9.9038518715029861E-2</v>
      </c>
      <c r="R47" s="677">
        <f t="shared" si="28"/>
        <v>9.9038068783051422E-2</v>
      </c>
      <c r="S47" s="677">
        <f t="shared" si="28"/>
        <v>9.9036654341996641E-2</v>
      </c>
      <c r="T47" s="677">
        <f t="shared" si="28"/>
        <v>9.9036458519948314E-2</v>
      </c>
      <c r="U47" s="677">
        <f t="shared" si="28"/>
        <v>9.9036261695980968E-2</v>
      </c>
      <c r="V47" s="677">
        <f t="shared" si="28"/>
        <v>9.9036063887369963E-2</v>
      </c>
      <c r="W47" s="677">
        <f t="shared" si="28"/>
        <v>9.9035865111813476E-2</v>
      </c>
      <c r="X47" s="677">
        <f t="shared" si="28"/>
        <v>9.9035665387427904E-2</v>
      </c>
      <c r="Y47" s="677">
        <f t="shared" si="28"/>
        <v>9.9036005478881681E-2</v>
      </c>
      <c r="Z47" s="677">
        <f t="shared" si="28"/>
        <v>9.9036917021439019E-2</v>
      </c>
      <c r="AA47" s="677">
        <f t="shared" si="28"/>
        <v>9.9036695187064996E-2</v>
      </c>
      <c r="AB47" s="677">
        <f t="shared" si="28"/>
        <v>9.9036472517103985E-2</v>
      </c>
      <c r="AC47" s="658"/>
    </row>
    <row r="50" spans="2:30" ht="12.75" customHeight="1" x14ac:dyDescent="0.3">
      <c r="B50" s="1065" t="s">
        <v>614</v>
      </c>
      <c r="C50" s="1065"/>
      <c r="D50" s="635" t="s">
        <v>580</v>
      </c>
      <c r="E50" s="636"/>
      <c r="F50" s="636"/>
      <c r="G50" s="636"/>
      <c r="H50" s="636"/>
      <c r="I50" s="636"/>
      <c r="J50" s="636"/>
      <c r="K50" s="636"/>
      <c r="L50" s="636"/>
      <c r="M50" s="636"/>
      <c r="N50" s="636"/>
      <c r="O50" s="636"/>
      <c r="P50" s="636"/>
      <c r="Q50" s="636"/>
      <c r="R50" s="636"/>
      <c r="S50" s="636"/>
      <c r="T50" s="636"/>
      <c r="U50" s="636"/>
      <c r="V50" s="636"/>
      <c r="W50" s="636"/>
      <c r="X50" s="636"/>
      <c r="Y50" s="636"/>
      <c r="Z50" s="636"/>
      <c r="AA50" s="636"/>
      <c r="AB50" s="647"/>
      <c r="AC50" s="658"/>
      <c r="AD50" s="7"/>
    </row>
    <row r="51" spans="2:30" ht="12.75" customHeight="1" x14ac:dyDescent="0.3">
      <c r="B51" s="1065"/>
      <c r="C51" s="1065"/>
      <c r="D51" s="639">
        <v>1</v>
      </c>
      <c r="E51" s="639">
        <v>2</v>
      </c>
      <c r="F51" s="639">
        <v>3</v>
      </c>
      <c r="G51" s="639">
        <v>4</v>
      </c>
      <c r="H51" s="639">
        <v>5</v>
      </c>
      <c r="I51" s="639">
        <v>6</v>
      </c>
      <c r="J51" s="639">
        <v>7</v>
      </c>
      <c r="K51" s="639">
        <v>8</v>
      </c>
      <c r="L51" s="639">
        <v>9</v>
      </c>
      <c r="M51" s="639">
        <v>10</v>
      </c>
      <c r="N51" s="639">
        <v>11</v>
      </c>
      <c r="O51" s="639">
        <v>12</v>
      </c>
      <c r="P51" s="639">
        <v>13</v>
      </c>
      <c r="Q51" s="639">
        <v>14</v>
      </c>
      <c r="R51" s="639">
        <v>15</v>
      </c>
      <c r="S51" s="639">
        <v>16</v>
      </c>
      <c r="T51" s="639">
        <v>17</v>
      </c>
      <c r="U51" s="639">
        <v>18</v>
      </c>
      <c r="V51" s="639">
        <v>19</v>
      </c>
      <c r="W51" s="639">
        <v>20</v>
      </c>
      <c r="X51" s="639">
        <v>21</v>
      </c>
      <c r="Y51" s="639">
        <v>22</v>
      </c>
      <c r="Z51" s="639">
        <v>23</v>
      </c>
      <c r="AA51" s="639">
        <v>24</v>
      </c>
      <c r="AB51" s="639">
        <v>25</v>
      </c>
      <c r="AC51" s="658"/>
      <c r="AD51" s="7"/>
    </row>
    <row r="52" spans="2:30" ht="12.75" customHeight="1" x14ac:dyDescent="0.3">
      <c r="B52" s="1059" t="s">
        <v>615</v>
      </c>
      <c r="C52" s="1059"/>
      <c r="D52" s="678">
        <f>-((1*'Anexo V - ano 1 a 10 - inicial'!F167/18)*12)</f>
        <v>-32802537.983422361</v>
      </c>
      <c r="E52" s="678">
        <f>-(1*'Anexo V - ano 1 a 10 - inicial'!F167/18)*6</f>
        <v>-16401268.991711181</v>
      </c>
      <c r="F52" s="679"/>
      <c r="G52" s="679"/>
      <c r="H52" s="679"/>
      <c r="I52" s="679"/>
      <c r="J52" s="679"/>
      <c r="K52" s="679"/>
      <c r="L52" s="679"/>
      <c r="M52" s="679">
        <f>-('Anexo V - ano 11 a 15'!H166)</f>
        <v>-12377182.038063014</v>
      </c>
      <c r="N52" s="679"/>
      <c r="O52" s="679"/>
      <c r="P52" s="679"/>
      <c r="Q52" s="679"/>
      <c r="R52" s="679">
        <f>-('Anexo V - ano 16 a 25'!H166)</f>
        <v>-8517639.6726789158</v>
      </c>
      <c r="S52" s="679"/>
      <c r="T52" s="679"/>
      <c r="U52" s="679"/>
      <c r="V52" s="679"/>
      <c r="W52" s="679"/>
      <c r="X52" s="679"/>
      <c r="Y52" s="679"/>
      <c r="Z52" s="679"/>
      <c r="AA52" s="679"/>
      <c r="AB52" s="679"/>
      <c r="AC52" s="658">
        <f>SUM(D52:AB52)</f>
        <v>-70098628.685875461</v>
      </c>
      <c r="AD52" s="754">
        <f>AC52*(10/100)</f>
        <v>-7009862.8685875461</v>
      </c>
    </row>
    <row r="53" spans="2:30" ht="12.75" customHeight="1" x14ac:dyDescent="0.3">
      <c r="B53" s="1059" t="s">
        <v>612</v>
      </c>
      <c r="C53" s="1059"/>
      <c r="D53" s="678">
        <f t="shared" ref="D53:AB53" si="29">D46</f>
        <v>-5176345.6612669323</v>
      </c>
      <c r="E53" s="678">
        <f t="shared" si="29"/>
        <v>1848441.5196154048</v>
      </c>
      <c r="F53" s="678">
        <f t="shared" si="29"/>
        <v>4747228.356333212</v>
      </c>
      <c r="G53" s="678">
        <f t="shared" si="29"/>
        <v>4770832.2752376562</v>
      </c>
      <c r="H53" s="678">
        <f t="shared" si="29"/>
        <v>4794813.8568445705</v>
      </c>
      <c r="I53" s="678">
        <f t="shared" si="29"/>
        <v>4920443.2828631382</v>
      </c>
      <c r="J53" s="678">
        <f t="shared" si="29"/>
        <v>4897463.3976402404</v>
      </c>
      <c r="K53" s="678">
        <f t="shared" si="29"/>
        <v>4827144.5777952587</v>
      </c>
      <c r="L53" s="678">
        <f t="shared" si="29"/>
        <v>4936779.3491424574</v>
      </c>
      <c r="M53" s="678">
        <f t="shared" si="29"/>
        <v>4946878.4126108792</v>
      </c>
      <c r="N53" s="678">
        <f t="shared" si="29"/>
        <v>5141836.8778092405</v>
      </c>
      <c r="O53" s="678">
        <f t="shared" si="29"/>
        <v>5134742.9514970044</v>
      </c>
      <c r="P53" s="678">
        <f t="shared" si="29"/>
        <v>5100947.9959948529</v>
      </c>
      <c r="Q53" s="678">
        <f t="shared" si="29"/>
        <v>5142358.390630234</v>
      </c>
      <c r="R53" s="678">
        <f t="shared" si="29"/>
        <v>5203111.8856300618</v>
      </c>
      <c r="S53" s="678">
        <f t="shared" si="29"/>
        <v>5403815.6980866874</v>
      </c>
      <c r="T53" s="678">
        <f t="shared" si="29"/>
        <v>5432829.3447109051</v>
      </c>
      <c r="U53" s="678">
        <f t="shared" si="29"/>
        <v>5462307.2096811188</v>
      </c>
      <c r="V53" s="678">
        <f t="shared" si="29"/>
        <v>5492256.7204908505</v>
      </c>
      <c r="W53" s="678">
        <f t="shared" si="29"/>
        <v>5522685.4234735407</v>
      </c>
      <c r="X53" s="678">
        <f t="shared" si="29"/>
        <v>5553600.9857039582</v>
      </c>
      <c r="Y53" s="678">
        <f t="shared" si="29"/>
        <v>5501163.0759890471</v>
      </c>
      <c r="Z53" s="678">
        <f t="shared" si="29"/>
        <v>5365379.6087127719</v>
      </c>
      <c r="AA53" s="678">
        <f t="shared" si="29"/>
        <v>5397802.9877121747</v>
      </c>
      <c r="AB53" s="678">
        <f t="shared" si="29"/>
        <v>5430745.1407755781</v>
      </c>
      <c r="AC53" s="658">
        <f>SUM(D53:AB53)</f>
        <v>115799263.66371393</v>
      </c>
      <c r="AD53" s="7"/>
    </row>
    <row r="54" spans="2:30" ht="12.75" customHeight="1" x14ac:dyDescent="0.3">
      <c r="B54" s="1059" t="s">
        <v>586</v>
      </c>
      <c r="C54" s="1059"/>
      <c r="D54" s="680">
        <f t="shared" ref="D54:AB54" si="30">D14</f>
        <v>0</v>
      </c>
      <c r="E54" s="680">
        <f t="shared" si="30"/>
        <v>1195048.6497726331</v>
      </c>
      <c r="F54" s="681">
        <f t="shared" si="30"/>
        <v>3648015.7093178998</v>
      </c>
      <c r="G54" s="681">
        <f t="shared" si="30"/>
        <v>3648015.7093178998</v>
      </c>
      <c r="H54" s="681">
        <f t="shared" si="30"/>
        <v>3648015.7093178998</v>
      </c>
      <c r="I54" s="681">
        <f t="shared" si="30"/>
        <v>4366863.514381594</v>
      </c>
      <c r="J54" s="681">
        <f t="shared" si="30"/>
        <v>4016083.4672274692</v>
      </c>
      <c r="K54" s="681">
        <f t="shared" si="30"/>
        <v>3314523.3729192214</v>
      </c>
      <c r="L54" s="681">
        <f t="shared" si="30"/>
        <v>3314523.3729192214</v>
      </c>
      <c r="M54" s="681">
        <f t="shared" si="30"/>
        <v>3314523.3729192214</v>
      </c>
      <c r="N54" s="681">
        <f t="shared" si="30"/>
        <v>3284041.4720409494</v>
      </c>
      <c r="O54" s="681">
        <f t="shared" si="30"/>
        <v>3034972.9290646538</v>
      </c>
      <c r="P54" s="681">
        <f t="shared" si="30"/>
        <v>2536835.8431120636</v>
      </c>
      <c r="Q54" s="681">
        <f t="shared" si="30"/>
        <v>2536835.8431120636</v>
      </c>
      <c r="R54" s="681">
        <f t="shared" si="30"/>
        <v>2536835.8431120636</v>
      </c>
      <c r="S54" s="681">
        <f t="shared" si="30"/>
        <v>3246345.2553762766</v>
      </c>
      <c r="T54" s="681">
        <f t="shared" si="30"/>
        <v>3246345.2553762766</v>
      </c>
      <c r="U54" s="681">
        <f t="shared" si="30"/>
        <v>3246345.2553762766</v>
      </c>
      <c r="V54" s="681">
        <f t="shared" si="30"/>
        <v>3246345.2553762766</v>
      </c>
      <c r="W54" s="681">
        <f t="shared" si="30"/>
        <v>3246345.2553762766</v>
      </c>
      <c r="X54" s="681">
        <f t="shared" si="30"/>
        <v>3246345.2553762766</v>
      </c>
      <c r="Y54" s="681">
        <f t="shared" si="30"/>
        <v>2630188.6090673963</v>
      </c>
      <c r="Z54" s="681">
        <f t="shared" si="30"/>
        <v>1397875.3164496352</v>
      </c>
      <c r="AA54" s="681">
        <f t="shared" si="30"/>
        <v>1397875.3164496352</v>
      </c>
      <c r="AB54" s="681">
        <f t="shared" si="30"/>
        <v>1397875.3164496352</v>
      </c>
      <c r="AC54" s="658">
        <f>SUM(D54:AB54)</f>
        <v>70697020.899208859</v>
      </c>
      <c r="AD54" s="7"/>
    </row>
    <row r="55" spans="2:30" ht="12.75" customHeight="1" x14ac:dyDescent="0.3">
      <c r="B55" s="1059" t="s">
        <v>616</v>
      </c>
      <c r="C55" s="1059"/>
      <c r="D55" s="682">
        <f t="shared" ref="D55:AB55" si="31">D52+D53+D54</f>
        <v>-37978883.644689292</v>
      </c>
      <c r="E55" s="682">
        <f t="shared" si="31"/>
        <v>-13357778.822323143</v>
      </c>
      <c r="F55" s="682">
        <f t="shared" si="31"/>
        <v>8395244.0656511113</v>
      </c>
      <c r="G55" s="682">
        <f t="shared" si="31"/>
        <v>8418847.9845555555</v>
      </c>
      <c r="H55" s="682">
        <f t="shared" si="31"/>
        <v>8442829.5661624707</v>
      </c>
      <c r="I55" s="682">
        <f t="shared" si="31"/>
        <v>9287306.7972447313</v>
      </c>
      <c r="J55" s="682">
        <f t="shared" si="31"/>
        <v>8913546.8648677096</v>
      </c>
      <c r="K55" s="682">
        <f t="shared" si="31"/>
        <v>8141667.9507144801</v>
      </c>
      <c r="L55" s="682">
        <f t="shared" si="31"/>
        <v>8251302.7220616788</v>
      </c>
      <c r="M55" s="682">
        <f t="shared" si="31"/>
        <v>-4115780.2525329133</v>
      </c>
      <c r="N55" s="682">
        <f t="shared" si="31"/>
        <v>8425878.3498501889</v>
      </c>
      <c r="O55" s="682">
        <f t="shared" si="31"/>
        <v>8169715.8805616582</v>
      </c>
      <c r="P55" s="682">
        <f t="shared" si="31"/>
        <v>7637783.8391069164</v>
      </c>
      <c r="Q55" s="682">
        <f t="shared" si="31"/>
        <v>7679194.2337422976</v>
      </c>
      <c r="R55" s="682">
        <f t="shared" si="31"/>
        <v>-777691.94393679034</v>
      </c>
      <c r="S55" s="682">
        <f t="shared" si="31"/>
        <v>8650160.9534629639</v>
      </c>
      <c r="T55" s="682">
        <f t="shared" si="31"/>
        <v>8679174.6000871807</v>
      </c>
      <c r="U55" s="682">
        <f t="shared" si="31"/>
        <v>8708652.4650573954</v>
      </c>
      <c r="V55" s="682">
        <f t="shared" si="31"/>
        <v>8738601.9758671261</v>
      </c>
      <c r="W55" s="682">
        <f t="shared" si="31"/>
        <v>8769030.6788498163</v>
      </c>
      <c r="X55" s="682">
        <f t="shared" si="31"/>
        <v>8799946.2410802357</v>
      </c>
      <c r="Y55" s="682">
        <f t="shared" si="31"/>
        <v>8131351.6850564433</v>
      </c>
      <c r="Z55" s="682">
        <f t="shared" si="31"/>
        <v>6763254.9251624066</v>
      </c>
      <c r="AA55" s="682">
        <f t="shared" si="31"/>
        <v>6795678.3041618094</v>
      </c>
      <c r="AB55" s="682">
        <f t="shared" si="31"/>
        <v>6828620.4572252128</v>
      </c>
      <c r="AC55" s="658">
        <f>SUM(D55:AB55)</f>
        <v>116397655.87704726</v>
      </c>
      <c r="AD55" s="7"/>
    </row>
    <row r="56" spans="2:30" ht="12.75" customHeight="1" x14ac:dyDescent="0.3">
      <c r="B56" s="104"/>
      <c r="C56" s="104"/>
      <c r="D56" s="683"/>
      <c r="E56" s="683"/>
      <c r="F56" s="683"/>
      <c r="G56" s="683"/>
      <c r="H56" s="683"/>
      <c r="I56" s="683"/>
      <c r="J56" s="683"/>
      <c r="K56" s="683"/>
      <c r="L56" s="683"/>
      <c r="M56" s="683"/>
      <c r="N56" s="683"/>
      <c r="O56" s="683"/>
      <c r="P56" s="683"/>
      <c r="Q56" s="683"/>
      <c r="R56" s="683"/>
      <c r="S56" s="683"/>
      <c r="T56" s="683"/>
      <c r="U56" s="683"/>
      <c r="V56" s="683"/>
      <c r="W56" s="683"/>
      <c r="X56" s="683"/>
      <c r="Y56" s="683"/>
      <c r="Z56" s="683"/>
      <c r="AA56" s="683"/>
      <c r="AB56" s="683"/>
      <c r="AC56" s="658"/>
      <c r="AD56" s="7"/>
    </row>
    <row r="57" spans="2:30" ht="12.75" customHeight="1" x14ac:dyDescent="0.3">
      <c r="B57" s="532"/>
      <c r="C57" s="532"/>
      <c r="D57" s="683"/>
      <c r="E57" s="683"/>
      <c r="F57" s="683"/>
      <c r="G57" s="683"/>
      <c r="H57" s="683"/>
      <c r="I57" s="683"/>
      <c r="J57" s="683"/>
      <c r="K57" s="683"/>
      <c r="L57" s="683"/>
      <c r="M57" s="683"/>
      <c r="N57" s="683"/>
      <c r="O57" s="683"/>
      <c r="P57" s="683"/>
      <c r="Q57" s="683"/>
      <c r="R57" s="683"/>
      <c r="S57" s="683"/>
      <c r="T57" s="683"/>
      <c r="U57" s="683"/>
      <c r="V57" s="683"/>
      <c r="W57" s="683"/>
      <c r="X57" s="683"/>
      <c r="Y57" s="683"/>
      <c r="Z57" s="683"/>
      <c r="AA57" s="683"/>
      <c r="AB57" s="683"/>
      <c r="AC57" s="658"/>
      <c r="AD57" s="7"/>
    </row>
    <row r="58" spans="2:30" ht="12.75" customHeight="1" x14ac:dyDescent="0.3">
      <c r="B58" s="684" t="s">
        <v>617</v>
      </c>
      <c r="C58" s="685">
        <v>0.1173</v>
      </c>
      <c r="D58" s="18"/>
      <c r="E58" s="1060"/>
      <c r="F58" s="1060"/>
      <c r="G58" s="1060"/>
      <c r="H58" s="1060"/>
      <c r="I58" s="1060"/>
      <c r="J58" s="1060"/>
      <c r="K58" s="1060"/>
      <c r="L58" s="1060"/>
      <c r="M58" s="1060"/>
      <c r="N58" s="1060"/>
      <c r="O58" s="7"/>
      <c r="P58" s="7"/>
      <c r="Q58" s="7"/>
      <c r="R58" s="7"/>
      <c r="S58" s="7"/>
      <c r="T58" s="7"/>
      <c r="U58" s="7"/>
      <c r="V58" s="7"/>
      <c r="W58" s="7"/>
      <c r="X58" s="7"/>
      <c r="Y58" s="7"/>
      <c r="Z58" s="7"/>
      <c r="AA58" s="7"/>
      <c r="AB58" s="7"/>
      <c r="AC58" s="7"/>
      <c r="AD58" s="7"/>
    </row>
    <row r="59" spans="2:30" ht="12.75" customHeight="1" x14ac:dyDescent="0.3">
      <c r="B59" s="686" t="s">
        <v>618</v>
      </c>
      <c r="C59" s="687">
        <f>NPV(C58,D55:AB55)</f>
        <v>2395352.0481571849</v>
      </c>
      <c r="D59" s="688"/>
      <c r="E59" s="1061"/>
      <c r="F59" s="1061"/>
      <c r="G59" s="1061"/>
      <c r="H59" s="1061"/>
      <c r="I59" s="1061"/>
      <c r="J59" s="1061"/>
      <c r="K59" s="1061"/>
      <c r="L59" s="1061"/>
      <c r="M59" s="1061"/>
      <c r="N59" s="1061"/>
      <c r="O59" s="688"/>
      <c r="P59" s="688"/>
      <c r="Q59" s="688"/>
      <c r="R59" s="688"/>
      <c r="S59" s="688"/>
      <c r="T59" s="688"/>
      <c r="U59" s="688"/>
      <c r="V59" s="688"/>
      <c r="W59" s="688"/>
      <c r="X59" s="688"/>
      <c r="Y59" s="688"/>
      <c r="Z59" s="688"/>
      <c r="AA59" s="688"/>
      <c r="AB59" s="688"/>
      <c r="AC59" s="7"/>
      <c r="AD59" s="7"/>
    </row>
    <row r="60" spans="2:30" ht="12.75" customHeight="1" x14ac:dyDescent="0.3">
      <c r="B60" s="689" t="s">
        <v>619</v>
      </c>
      <c r="C60" s="690">
        <f>MIRR(D55:AB55,C58,C58)</f>
        <v>0.11965586373924286</v>
      </c>
      <c r="D60" s="180"/>
      <c r="E60" s="1062"/>
      <c r="F60" s="1062"/>
      <c r="G60" s="1062"/>
      <c r="H60" s="1062"/>
      <c r="I60" s="1062"/>
      <c r="J60" s="1062"/>
      <c r="K60" s="1062"/>
      <c r="L60" s="1062"/>
      <c r="M60" s="1062"/>
      <c r="N60" s="1062"/>
      <c r="O60" s="180"/>
      <c r="P60" s="180"/>
      <c r="Q60" s="180"/>
      <c r="R60" s="180"/>
      <c r="S60" s="180"/>
      <c r="T60" s="180"/>
      <c r="U60" s="180"/>
      <c r="V60" s="180"/>
      <c r="W60" s="180"/>
      <c r="X60" s="180"/>
      <c r="Y60" s="180"/>
      <c r="Z60" s="180"/>
      <c r="AA60" s="180"/>
      <c r="AB60" s="180"/>
      <c r="AC60" s="180"/>
      <c r="AD60" s="7"/>
    </row>
  </sheetData>
  <mergeCells count="20">
    <mergeCell ref="I2:AC2"/>
    <mergeCell ref="C3:M3"/>
    <mergeCell ref="C4:M4"/>
    <mergeCell ref="C5:M5"/>
    <mergeCell ref="I7:AC7"/>
    <mergeCell ref="B8:F8"/>
    <mergeCell ref="I8:AC8"/>
    <mergeCell ref="B15:C15"/>
    <mergeCell ref="B18:C18"/>
    <mergeCell ref="B30:C30"/>
    <mergeCell ref="B33:C34"/>
    <mergeCell ref="B46:C46"/>
    <mergeCell ref="B50:C51"/>
    <mergeCell ref="B52:C52"/>
    <mergeCell ref="B53:C53"/>
    <mergeCell ref="B54:C54"/>
    <mergeCell ref="B55:C55"/>
    <mergeCell ref="E58:N58"/>
    <mergeCell ref="E59:N59"/>
    <mergeCell ref="E60:N60"/>
  </mergeCells>
  <pageMargins left="0.51180555555555496" right="0.51180555555555496" top="0.78749999999999998" bottom="0.78749999999999998" header="0.51180555555555496" footer="0.51180555555555496"/>
  <pageSetup paperSize="9" firstPageNumber="0" orientation="portrait" horizontalDpi="300" verticalDpi="300"/>
  <drawing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M29"/>
  <sheetViews>
    <sheetView topLeftCell="C20" zoomScale="90" zoomScaleNormal="90" workbookViewId="0">
      <selection activeCell="H31" sqref="H31"/>
    </sheetView>
  </sheetViews>
  <sheetFormatPr defaultRowHeight="12.5" x14ac:dyDescent="0.25"/>
  <cols>
    <col min="1" max="1" width="8.7265625" customWidth="1"/>
    <col min="2" max="2" width="5.453125" customWidth="1"/>
    <col min="3" max="3" width="25.26953125" customWidth="1"/>
    <col min="4" max="4" width="18.54296875" customWidth="1"/>
    <col min="5" max="5" width="71.81640625" customWidth="1"/>
    <col min="6" max="6" width="20" customWidth="1"/>
    <col min="7" max="7" width="18.81640625" customWidth="1"/>
    <col min="8" max="8" width="16.7265625" customWidth="1"/>
    <col min="9" max="9" width="10" customWidth="1"/>
    <col min="10" max="10" width="15.7265625" customWidth="1"/>
    <col min="11" max="14" width="13.453125" customWidth="1"/>
    <col min="15" max="15" width="12.54296875" customWidth="1"/>
    <col min="16" max="16" width="14.54296875" customWidth="1"/>
    <col min="17" max="26" width="8.7265625" customWidth="1"/>
    <col min="27" max="1025" width="14.453125" customWidth="1"/>
  </cols>
  <sheetData>
    <row r="2" spans="2:13" ht="15.75" customHeight="1" x14ac:dyDescent="0.35">
      <c r="B2" s="1075" t="s">
        <v>70</v>
      </c>
      <c r="C2" s="1075"/>
      <c r="D2" s="1075"/>
      <c r="E2" s="1075"/>
      <c r="F2" s="1075"/>
      <c r="G2" s="1075"/>
      <c r="H2" s="1075"/>
      <c r="I2" s="1075"/>
      <c r="J2" s="106"/>
      <c r="K2" s="7"/>
      <c r="L2" s="180"/>
      <c r="M2" s="7"/>
    </row>
    <row r="3" spans="2:13" ht="15.75" customHeight="1" x14ac:dyDescent="0.35">
      <c r="B3" s="1076" t="s">
        <v>71</v>
      </c>
      <c r="C3" s="1076"/>
      <c r="D3" s="1076"/>
      <c r="E3" s="1076"/>
      <c r="F3" s="1076"/>
      <c r="G3" s="1076"/>
      <c r="H3" s="1076"/>
      <c r="I3" s="1076"/>
      <c r="J3" s="106"/>
      <c r="K3" s="7"/>
      <c r="L3" s="180"/>
      <c r="M3" s="7"/>
    </row>
    <row r="4" spans="2:13" ht="15.75" customHeight="1" x14ac:dyDescent="0.35">
      <c r="B4" s="1077"/>
      <c r="C4" s="1077"/>
      <c r="D4" s="1077"/>
      <c r="E4" s="1077"/>
      <c r="F4" s="1077"/>
      <c r="G4" s="1077"/>
      <c r="H4" s="1077"/>
      <c r="I4" s="1077"/>
      <c r="J4" s="106"/>
      <c r="K4" s="7"/>
      <c r="L4" s="180"/>
      <c r="M4" s="7"/>
    </row>
    <row r="5" spans="2:13" ht="12.75" customHeight="1" x14ac:dyDescent="0.25">
      <c r="B5" s="16"/>
      <c r="C5" s="16"/>
      <c r="D5" s="7"/>
      <c r="E5" s="7"/>
      <c r="F5" s="7"/>
      <c r="G5" s="180"/>
      <c r="H5" s="7"/>
      <c r="I5" s="7"/>
      <c r="J5" s="106"/>
      <c r="K5" s="7"/>
      <c r="L5" s="180"/>
      <c r="M5" s="7"/>
    </row>
    <row r="6" spans="2:13" ht="12.75" customHeight="1" x14ac:dyDescent="0.25">
      <c r="B6" s="16"/>
      <c r="C6" s="16"/>
      <c r="D6" s="7"/>
      <c r="E6" s="7"/>
      <c r="F6" s="7"/>
      <c r="G6" s="180"/>
      <c r="H6" s="7"/>
      <c r="I6" s="7"/>
      <c r="J6" s="106"/>
      <c r="K6" s="7"/>
      <c r="L6" s="180"/>
      <c r="M6" s="7"/>
    </row>
    <row r="7" spans="2:13" ht="21" customHeight="1" x14ac:dyDescent="0.35">
      <c r="B7" s="1078" t="s">
        <v>620</v>
      </c>
      <c r="C7" s="1078"/>
      <c r="D7" s="1078"/>
      <c r="E7" s="1078"/>
      <c r="F7" s="1078"/>
      <c r="G7" s="180"/>
      <c r="H7" s="7"/>
      <c r="I7" s="7"/>
      <c r="J7" s="106"/>
      <c r="K7" s="7"/>
      <c r="L7" s="180"/>
      <c r="M7" s="7"/>
    </row>
    <row r="8" spans="2:13" ht="15.75" customHeight="1" x14ac:dyDescent="0.35">
      <c r="B8" s="16"/>
      <c r="C8" s="16"/>
      <c r="D8" s="7"/>
      <c r="E8" s="7"/>
      <c r="F8" s="7"/>
      <c r="G8" s="1072"/>
      <c r="H8" s="1072"/>
      <c r="I8" s="1072"/>
      <c r="J8" s="1072"/>
      <c r="K8" s="1072"/>
      <c r="L8" s="1072"/>
      <c r="M8" s="1072"/>
    </row>
    <row r="9" spans="2:13" ht="12.75" customHeight="1" x14ac:dyDescent="0.35">
      <c r="B9" s="1071"/>
      <c r="C9" s="1071"/>
      <c r="D9" s="1071"/>
      <c r="E9" s="691"/>
      <c r="F9" s="7"/>
      <c r="G9" s="1072"/>
      <c r="H9" s="1072"/>
      <c r="I9" s="1072"/>
      <c r="J9" s="1072"/>
      <c r="K9" s="1072"/>
      <c r="L9" s="1072"/>
      <c r="M9" s="1072"/>
    </row>
    <row r="10" spans="2:13" ht="26.25" customHeight="1" x14ac:dyDescent="0.25">
      <c r="B10" s="1073" t="s">
        <v>621</v>
      </c>
      <c r="C10" s="1073"/>
      <c r="D10" s="475">
        <f>'Anexo VII - fluxo de caixa'!AC36</f>
        <v>1229321378.6239781</v>
      </c>
      <c r="E10" s="692" t="s">
        <v>622</v>
      </c>
      <c r="F10" s="754"/>
      <c r="G10" s="7"/>
      <c r="H10" s="106"/>
      <c r="I10" s="7"/>
      <c r="J10" s="106"/>
      <c r="K10" s="7"/>
      <c r="L10" s="7"/>
      <c r="M10" s="7"/>
    </row>
    <row r="11" spans="2:13" ht="26.25" customHeight="1" x14ac:dyDescent="0.35">
      <c r="B11" s="1073" t="s">
        <v>623</v>
      </c>
      <c r="C11" s="1073"/>
      <c r="D11" s="739">
        <v>0.96</v>
      </c>
      <c r="E11" s="7"/>
      <c r="F11" s="7"/>
      <c r="G11" s="7"/>
      <c r="H11" s="106"/>
      <c r="I11" s="7"/>
      <c r="J11" s="106"/>
      <c r="K11" s="7"/>
      <c r="L11" s="7"/>
      <c r="M11" s="7"/>
    </row>
    <row r="12" spans="2:13" ht="27.75" customHeight="1" x14ac:dyDescent="0.25">
      <c r="B12" s="1074" t="s">
        <v>624</v>
      </c>
      <c r="C12" s="1074"/>
      <c r="D12" s="475">
        <f>D10*D11</f>
        <v>1180148523.4790189</v>
      </c>
      <c r="E12" s="7"/>
      <c r="F12" s="7"/>
      <c r="G12" s="7"/>
      <c r="H12" s="106"/>
      <c r="I12" s="7"/>
      <c r="J12" s="106"/>
      <c r="K12" s="7"/>
      <c r="L12" s="7"/>
      <c r="M12" s="7"/>
    </row>
    <row r="13" spans="2:13" ht="26.25" customHeight="1" x14ac:dyDescent="0.35">
      <c r="B13" s="1073" t="s">
        <v>625</v>
      </c>
      <c r="C13" s="1073"/>
      <c r="D13" s="739">
        <v>0.01</v>
      </c>
      <c r="E13" s="7"/>
      <c r="F13" s="7"/>
      <c r="G13" s="7"/>
      <c r="H13" s="106"/>
      <c r="I13" s="7"/>
      <c r="J13" s="106"/>
      <c r="K13" s="7"/>
      <c r="L13" s="7"/>
      <c r="M13" s="7"/>
    </row>
    <row r="14" spans="2:13" ht="13" x14ac:dyDescent="0.3">
      <c r="B14" s="1073" t="s">
        <v>626</v>
      </c>
      <c r="C14" s="1073"/>
      <c r="D14" s="475">
        <f>D10*D13</f>
        <v>12293213.786239782</v>
      </c>
      <c r="E14" s="7"/>
      <c r="F14" s="7"/>
      <c r="G14" s="7"/>
      <c r="H14" s="106"/>
      <c r="I14" s="7"/>
      <c r="J14" s="106"/>
      <c r="K14" s="7"/>
      <c r="L14" s="7"/>
      <c r="M14" s="7"/>
    </row>
    <row r="15" spans="2:13" ht="29.25" customHeight="1" x14ac:dyDescent="0.35">
      <c r="B15" s="1073" t="s">
        <v>627</v>
      </c>
      <c r="C15" s="1073"/>
      <c r="D15" s="739">
        <v>0.03</v>
      </c>
      <c r="E15" s="778"/>
      <c r="F15" s="7"/>
      <c r="G15" s="7"/>
      <c r="H15" s="106"/>
      <c r="I15" s="7"/>
      <c r="J15" s="106"/>
      <c r="K15" s="7"/>
      <c r="L15" s="7"/>
      <c r="M15" s="7"/>
    </row>
    <row r="16" spans="2:13" ht="29.25" customHeight="1" x14ac:dyDescent="0.3">
      <c r="B16" s="1073" t="s">
        <v>628</v>
      </c>
      <c r="C16" s="1073"/>
      <c r="D16" s="475">
        <f>D10*D15</f>
        <v>36879641.358719341</v>
      </c>
      <c r="E16" s="737"/>
      <c r="F16" s="7"/>
      <c r="G16" s="7"/>
      <c r="H16" s="106"/>
      <c r="I16" s="7"/>
      <c r="J16" s="106"/>
      <c r="K16" s="7"/>
      <c r="L16" s="7"/>
      <c r="M16" s="7"/>
    </row>
    <row r="17" spans="2:10" ht="26.25" customHeight="1" x14ac:dyDescent="0.25">
      <c r="B17" s="1073" t="s">
        <v>629</v>
      </c>
      <c r="C17" s="1073"/>
      <c r="D17" s="475">
        <f>'Anexo II - Carga-demanda'!I46</f>
        <v>607781348308.37781</v>
      </c>
      <c r="E17" s="693" t="s">
        <v>630</v>
      </c>
      <c r="F17" s="7"/>
      <c r="G17" s="7"/>
      <c r="H17" s="106"/>
      <c r="I17" s="7"/>
      <c r="J17" s="106"/>
    </row>
    <row r="18" spans="2:10" ht="26.25" customHeight="1" x14ac:dyDescent="0.25">
      <c r="B18" s="1073" t="s">
        <v>631</v>
      </c>
      <c r="C18" s="1073"/>
      <c r="D18" s="694">
        <f>('Anexo II - Carga-demanda'!F46)/1000</f>
        <v>1907293.3113530031</v>
      </c>
      <c r="E18" s="692" t="s">
        <v>630</v>
      </c>
      <c r="F18" s="7"/>
      <c r="G18" s="7"/>
      <c r="H18" s="106"/>
      <c r="I18" s="7"/>
      <c r="J18" s="106"/>
    </row>
    <row r="19" spans="2:10" ht="26.25" customHeight="1" x14ac:dyDescent="0.25">
      <c r="B19" s="1073" t="s">
        <v>632</v>
      </c>
      <c r="C19" s="1073"/>
      <c r="D19" s="694">
        <f>'Anexo II - Carga-demanda'!G46</f>
        <v>103096.935748811</v>
      </c>
      <c r="E19" s="692" t="s">
        <v>630</v>
      </c>
      <c r="F19" s="7"/>
      <c r="G19" s="7"/>
      <c r="H19" s="106"/>
      <c r="I19" s="7"/>
      <c r="J19" s="106"/>
    </row>
    <row r="20" spans="2:10" ht="26.25" customHeight="1" thickBot="1" x14ac:dyDescent="0.3">
      <c r="B20" s="106"/>
      <c r="C20" s="106"/>
      <c r="D20" s="106"/>
      <c r="E20" s="106"/>
      <c r="F20" s="7"/>
      <c r="G20" s="180"/>
      <c r="H20" s="7"/>
      <c r="I20" s="7"/>
      <c r="J20" s="106"/>
    </row>
    <row r="21" spans="2:10" ht="26.25" customHeight="1" thickBot="1" x14ac:dyDescent="0.3">
      <c r="B21" s="1083" t="s">
        <v>633</v>
      </c>
      <c r="C21" s="1083"/>
      <c r="D21" s="1083"/>
      <c r="E21" s="1083"/>
      <c r="F21" s="1083"/>
      <c r="G21" s="1083"/>
      <c r="H21" s="1083"/>
      <c r="I21" s="1083"/>
      <c r="J21" s="1083"/>
    </row>
    <row r="22" spans="2:10" ht="43.5" customHeight="1" x14ac:dyDescent="0.35">
      <c r="B22" s="1082" t="s">
        <v>634</v>
      </c>
      <c r="C22" s="1082"/>
      <c r="D22" s="695" t="s">
        <v>635</v>
      </c>
      <c r="E22" s="696" t="s">
        <v>636</v>
      </c>
      <c r="F22" s="696" t="s">
        <v>637</v>
      </c>
      <c r="G22" s="697" t="s">
        <v>638</v>
      </c>
      <c r="H22" s="695" t="s">
        <v>639</v>
      </c>
      <c r="I22" s="696" t="s">
        <v>640</v>
      </c>
      <c r="J22" s="698" t="s">
        <v>641</v>
      </c>
    </row>
    <row r="23" spans="2:10" ht="26.25" customHeight="1" thickBot="1" x14ac:dyDescent="0.35">
      <c r="B23" s="1079" t="s">
        <v>642</v>
      </c>
      <c r="C23" s="1080"/>
      <c r="D23" s="1080"/>
      <c r="E23" s="1081"/>
      <c r="F23" s="1079"/>
      <c r="G23" s="1080"/>
      <c r="H23" s="1080"/>
      <c r="I23" s="1081"/>
      <c r="J23" s="699"/>
    </row>
    <row r="24" spans="2:10" ht="26.25" customHeight="1" thickBot="1" x14ac:dyDescent="0.4">
      <c r="B24" s="738" t="s">
        <v>643</v>
      </c>
      <c r="C24" s="700" t="s">
        <v>644</v>
      </c>
      <c r="D24" s="701">
        <f>D11</f>
        <v>0.96</v>
      </c>
      <c r="E24" s="702">
        <f>D12</f>
        <v>1180148523.4790189</v>
      </c>
      <c r="F24" s="702"/>
      <c r="G24" s="703"/>
      <c r="H24" s="757">
        <f>D17*D24</f>
        <v>583470094376.04272</v>
      </c>
      <c r="I24" s="704">
        <v>0.745</v>
      </c>
      <c r="J24" s="906">
        <f>ROUNDUP(((E24/H24)/I24*100),4)</f>
        <v>0.27149999999999996</v>
      </c>
    </row>
    <row r="25" spans="2:10" ht="26.25" customHeight="1" thickBot="1" x14ac:dyDescent="0.35">
      <c r="B25" s="1079" t="s">
        <v>645</v>
      </c>
      <c r="C25" s="1080"/>
      <c r="D25" s="1080"/>
      <c r="E25" s="1081"/>
      <c r="F25" s="1079"/>
      <c r="G25" s="1080"/>
      <c r="H25" s="1080"/>
      <c r="I25" s="1081"/>
      <c r="J25" s="705"/>
    </row>
    <row r="26" spans="2:10" ht="26.25" customHeight="1" thickBot="1" x14ac:dyDescent="0.4">
      <c r="B26" s="738" t="s">
        <v>646</v>
      </c>
      <c r="C26" s="700" t="s">
        <v>647</v>
      </c>
      <c r="D26" s="701">
        <f>D13</f>
        <v>0.01</v>
      </c>
      <c r="E26" s="702">
        <f>D14</f>
        <v>12293213.786239782</v>
      </c>
      <c r="F26" s="702">
        <f>D18*0.08</f>
        <v>152583.46490824025</v>
      </c>
      <c r="G26" s="703">
        <v>3.06</v>
      </c>
      <c r="H26" s="702"/>
      <c r="I26" s="479"/>
      <c r="J26" s="740">
        <f>ROUNDUP((E26/(F26*G26)),4)</f>
        <v>26.3292</v>
      </c>
    </row>
    <row r="27" spans="2:10" ht="44.25" customHeight="1" x14ac:dyDescent="0.35">
      <c r="B27" s="1082"/>
      <c r="C27" s="1082"/>
      <c r="D27" s="695" t="s">
        <v>648</v>
      </c>
      <c r="E27" s="696" t="s">
        <v>636</v>
      </c>
      <c r="F27" s="695" t="s">
        <v>649</v>
      </c>
      <c r="G27" s="698" t="s">
        <v>641</v>
      </c>
      <c r="H27" s="7"/>
      <c r="I27" s="180"/>
      <c r="J27" s="7"/>
    </row>
    <row r="28" spans="2:10" ht="26.25" customHeight="1" thickBot="1" x14ac:dyDescent="0.3">
      <c r="B28" s="1079" t="s">
        <v>650</v>
      </c>
      <c r="C28" s="1080"/>
      <c r="D28" s="1080"/>
      <c r="E28" s="1081"/>
      <c r="F28" s="701">
        <v>0.3</v>
      </c>
      <c r="G28" s="832" t="s">
        <v>651</v>
      </c>
      <c r="H28" s="907"/>
      <c r="I28" s="7"/>
      <c r="J28" s="180"/>
    </row>
    <row r="29" spans="2:10" ht="48" customHeight="1" thickBot="1" x14ac:dyDescent="0.4">
      <c r="B29" s="738" t="s">
        <v>652</v>
      </c>
      <c r="C29" s="700" t="s">
        <v>653</v>
      </c>
      <c r="D29" s="701">
        <f>D15</f>
        <v>0.03</v>
      </c>
      <c r="E29" s="702">
        <f>D16</f>
        <v>36879641.358719341</v>
      </c>
      <c r="F29" s="702">
        <f>D19*0.3</f>
        <v>30929.080724643296</v>
      </c>
      <c r="G29" s="760">
        <f>((E29/F29))/2.326</f>
        <v>512.63702128365492</v>
      </c>
      <c r="H29" s="908"/>
      <c r="I29" s="7"/>
      <c r="J29" s="180"/>
    </row>
  </sheetData>
  <mergeCells count="25">
    <mergeCell ref="B28:E28"/>
    <mergeCell ref="B19:C19"/>
    <mergeCell ref="B13:C13"/>
    <mergeCell ref="B15:C15"/>
    <mergeCell ref="B16:C16"/>
    <mergeCell ref="B27:C27"/>
    <mergeCell ref="B17:C17"/>
    <mergeCell ref="B18:C18"/>
    <mergeCell ref="B21:J21"/>
    <mergeCell ref="B22:C22"/>
    <mergeCell ref="B23:E23"/>
    <mergeCell ref="F23:I23"/>
    <mergeCell ref="B25:E25"/>
    <mergeCell ref="F25:I25"/>
    <mergeCell ref="B2:I2"/>
    <mergeCell ref="B3:I3"/>
    <mergeCell ref="B4:I4"/>
    <mergeCell ref="B7:F7"/>
    <mergeCell ref="G8:M8"/>
    <mergeCell ref="B9:D9"/>
    <mergeCell ref="G9:M9"/>
    <mergeCell ref="B10:C10"/>
    <mergeCell ref="B11:C11"/>
    <mergeCell ref="B14:C14"/>
    <mergeCell ref="B12:C12"/>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2:P17"/>
  <sheetViews>
    <sheetView topLeftCell="A7" workbookViewId="0">
      <selection activeCell="A13" sqref="A13"/>
    </sheetView>
  </sheetViews>
  <sheetFormatPr defaultRowHeight="12.5" x14ac:dyDescent="0.25"/>
  <cols>
    <col min="1" max="1" width="5" customWidth="1"/>
    <col min="2" max="2" width="5.1796875" customWidth="1"/>
    <col min="3" max="3" width="19.7265625" customWidth="1"/>
    <col min="4" max="4" width="16.7265625" customWidth="1"/>
    <col min="5" max="5" width="17.1796875" customWidth="1"/>
    <col min="6" max="8" width="15.81640625" customWidth="1"/>
    <col min="9" max="9" width="9.1796875" customWidth="1"/>
    <col min="10" max="10" width="9.453125" bestFit="1" customWidth="1"/>
    <col min="11" max="11" width="15" customWidth="1"/>
    <col min="12" max="12" width="5.453125" customWidth="1"/>
    <col min="13" max="13" width="9.81640625" customWidth="1"/>
    <col min="14" max="14" width="10.453125" customWidth="1"/>
    <col min="15" max="15" width="9.54296875" customWidth="1"/>
    <col min="16" max="16" width="8.81640625" hidden="1" customWidth="1"/>
    <col min="17" max="26" width="8.7265625" customWidth="1"/>
    <col min="27" max="1025" width="14.453125" customWidth="1"/>
  </cols>
  <sheetData>
    <row r="2" spans="2:14" ht="12.75" customHeight="1" x14ac:dyDescent="0.35">
      <c r="B2" s="7"/>
      <c r="C2" s="7"/>
      <c r="D2" s="1088" t="s">
        <v>70</v>
      </c>
      <c r="E2" s="1088"/>
      <c r="F2" s="1088"/>
      <c r="G2" s="1088"/>
      <c r="H2" s="1088"/>
      <c r="I2" s="1088"/>
      <c r="J2" s="1088"/>
      <c r="K2" s="1088"/>
      <c r="L2" s="1088"/>
      <c r="M2" s="1088"/>
      <c r="N2" s="1088"/>
    </row>
    <row r="3" spans="2:14" ht="12.75" customHeight="1" x14ac:dyDescent="0.35">
      <c r="B3" s="7"/>
      <c r="C3" s="7"/>
      <c r="D3" s="1089" t="s">
        <v>71</v>
      </c>
      <c r="E3" s="1089"/>
      <c r="F3" s="1089"/>
      <c r="G3" s="1089"/>
      <c r="H3" s="1089"/>
      <c r="I3" s="1089"/>
      <c r="J3" s="1089"/>
      <c r="K3" s="1089"/>
      <c r="L3" s="1089"/>
      <c r="M3" s="1089"/>
      <c r="N3" s="1089"/>
    </row>
    <row r="4" spans="2:14" ht="12.75" customHeight="1" x14ac:dyDescent="0.35">
      <c r="B4" s="7"/>
      <c r="C4" s="7"/>
      <c r="D4" s="1090"/>
      <c r="E4" s="1090"/>
      <c r="F4" s="1090"/>
      <c r="G4" s="1090"/>
      <c r="H4" s="1090"/>
      <c r="I4" s="1090"/>
      <c r="J4" s="1090"/>
      <c r="K4" s="1090"/>
      <c r="L4" s="1090"/>
      <c r="M4" s="1090"/>
      <c r="N4" s="1090"/>
    </row>
    <row r="5" spans="2:14" ht="12.75" customHeight="1" x14ac:dyDescent="0.3">
      <c r="B5" s="7"/>
      <c r="C5" s="7"/>
      <c r="D5" s="180"/>
      <c r="E5" s="180"/>
      <c r="F5" s="180"/>
      <c r="G5" s="180"/>
      <c r="H5" s="180"/>
      <c r="I5" s="706"/>
      <c r="J5" s="706"/>
      <c r="K5" s="345"/>
      <c r="L5" s="180"/>
      <c r="M5" s="180"/>
      <c r="N5" s="180"/>
    </row>
    <row r="6" spans="2:14" ht="12.75" customHeight="1" x14ac:dyDescent="0.3">
      <c r="B6" s="7"/>
      <c r="C6" s="7"/>
      <c r="D6" s="345"/>
      <c r="E6" s="345"/>
      <c r="F6" s="180"/>
      <c r="G6" s="180"/>
      <c r="H6" s="180"/>
      <c r="I6" s="706"/>
      <c r="J6" s="706"/>
      <c r="K6" s="345"/>
      <c r="L6" s="180"/>
      <c r="M6" s="180"/>
      <c r="N6" s="180"/>
    </row>
    <row r="7" spans="2:14" ht="12.75" customHeight="1" x14ac:dyDescent="0.35">
      <c r="B7" s="7"/>
      <c r="C7" s="7"/>
      <c r="D7" s="1091" t="s">
        <v>654</v>
      </c>
      <c r="E7" s="1091"/>
      <c r="F7" s="1091"/>
      <c r="G7" s="1091"/>
      <c r="H7" s="1091"/>
      <c r="I7" s="1091"/>
      <c r="J7" s="1091"/>
      <c r="K7" s="345"/>
      <c r="L7" s="180"/>
      <c r="M7" s="180"/>
      <c r="N7" s="180"/>
    </row>
    <row r="8" spans="2:14" ht="12.75" customHeight="1" x14ac:dyDescent="0.35">
      <c r="B8" s="7"/>
      <c r="C8" s="7"/>
      <c r="D8" s="707"/>
      <c r="E8" s="707"/>
      <c r="F8" s="708"/>
      <c r="G8" s="708"/>
      <c r="H8" s="708"/>
      <c r="I8" s="708"/>
      <c r="J8" s="708"/>
      <c r="K8" s="345"/>
      <c r="L8" s="180"/>
      <c r="M8" s="180"/>
      <c r="N8" s="180"/>
    </row>
    <row r="9" spans="2:14" ht="12.75" customHeight="1" x14ac:dyDescent="0.3">
      <c r="B9" s="7"/>
      <c r="C9" s="7"/>
      <c r="D9" s="345"/>
      <c r="E9" s="345"/>
      <c r="F9" s="180"/>
      <c r="G9" s="180"/>
      <c r="H9" s="180"/>
      <c r="I9" s="706"/>
      <c r="J9" s="706"/>
      <c r="K9" s="345"/>
      <c r="L9" s="180"/>
      <c r="M9" s="180"/>
      <c r="N9" s="180"/>
    </row>
    <row r="10" spans="2:14" ht="15" customHeight="1" x14ac:dyDescent="0.3">
      <c r="B10" s="1092"/>
      <c r="C10" s="1092"/>
      <c r="D10" s="709" t="s">
        <v>655</v>
      </c>
      <c r="E10" s="710" t="s">
        <v>655</v>
      </c>
      <c r="F10" s="710" t="s">
        <v>655</v>
      </c>
      <c r="G10" s="710" t="s">
        <v>655</v>
      </c>
      <c r="H10" s="710" t="s">
        <v>655</v>
      </c>
      <c r="I10" s="1093" t="s">
        <v>656</v>
      </c>
      <c r="J10" s="1093"/>
      <c r="K10" s="709" t="s">
        <v>655</v>
      </c>
      <c r="L10" s="180"/>
      <c r="M10" s="180"/>
      <c r="N10" s="180"/>
    </row>
    <row r="11" spans="2:14" ht="64.5" customHeight="1" x14ac:dyDescent="0.25">
      <c r="B11" s="1092"/>
      <c r="C11" s="1092"/>
      <c r="D11" s="711" t="s">
        <v>657</v>
      </c>
      <c r="E11" s="712" t="s">
        <v>658</v>
      </c>
      <c r="F11" s="712" t="s">
        <v>659</v>
      </c>
      <c r="G11" s="712" t="s">
        <v>660</v>
      </c>
      <c r="H11" s="711" t="s">
        <v>661</v>
      </c>
      <c r="I11" s="713" t="s">
        <v>662</v>
      </c>
      <c r="J11" s="713" t="s">
        <v>663</v>
      </c>
      <c r="K11" s="711" t="s">
        <v>657</v>
      </c>
      <c r="L11" s="180"/>
      <c r="M11" s="180"/>
      <c r="N11" s="180"/>
    </row>
    <row r="12" spans="2:14" ht="27.65" customHeight="1" x14ac:dyDescent="0.3">
      <c r="B12" s="1086" t="s">
        <v>664</v>
      </c>
      <c r="C12" s="1086"/>
      <c r="D12" s="714" t="s">
        <v>665</v>
      </c>
      <c r="E12" s="703" t="s">
        <v>665</v>
      </c>
      <c r="F12" s="703" t="s">
        <v>665</v>
      </c>
      <c r="G12" s="703" t="s">
        <v>665</v>
      </c>
      <c r="H12" s="830" t="s">
        <v>665</v>
      </c>
      <c r="I12" s="715"/>
      <c r="J12" s="715"/>
      <c r="K12" s="716" t="s">
        <v>665</v>
      </c>
      <c r="L12" s="180"/>
      <c r="M12" s="180"/>
      <c r="N12" s="180"/>
    </row>
    <row r="13" spans="2:14" ht="26.5" customHeight="1" x14ac:dyDescent="0.4">
      <c r="B13" s="717" t="s">
        <v>666</v>
      </c>
      <c r="C13" s="718" t="s">
        <v>667</v>
      </c>
      <c r="D13" s="741">
        <f>'Anexo VIII - tarifas'!J24</f>
        <v>0.27149999999999996</v>
      </c>
      <c r="E13" s="719">
        <v>0.42599999999999999</v>
      </c>
      <c r="F13" s="720">
        <v>0.9</v>
      </c>
      <c r="G13" s="720">
        <v>0.5</v>
      </c>
      <c r="H13" s="831">
        <v>0.27500000000000002</v>
      </c>
      <c r="I13" s="755">
        <f>MIN(E13:H13)</f>
        <v>0.27500000000000002</v>
      </c>
      <c r="J13" s="721">
        <f>MAX(E13:H13)</f>
        <v>0.9</v>
      </c>
      <c r="K13" s="742">
        <f>IF(D13&lt;=J13,D13,J13)</f>
        <v>0.27149999999999996</v>
      </c>
      <c r="L13" s="180"/>
      <c r="M13" s="180"/>
      <c r="N13" s="180"/>
    </row>
    <row r="14" spans="2:14" ht="22.9" customHeight="1" x14ac:dyDescent="0.3">
      <c r="B14" s="1087" t="s">
        <v>668</v>
      </c>
      <c r="C14" s="1087"/>
      <c r="D14" s="722"/>
      <c r="E14" s="723"/>
      <c r="F14" s="724"/>
      <c r="G14" s="724"/>
      <c r="H14" s="724"/>
      <c r="I14" s="725"/>
      <c r="J14" s="725"/>
      <c r="K14" s="726"/>
      <c r="L14" s="180"/>
      <c r="M14" s="180"/>
      <c r="N14" s="180"/>
    </row>
    <row r="15" spans="2:14" ht="26.5" customHeight="1" x14ac:dyDescent="0.3">
      <c r="B15" s="727" t="s">
        <v>646</v>
      </c>
      <c r="C15" s="728" t="s">
        <v>669</v>
      </c>
      <c r="D15" s="746">
        <f>'Anexo VIII - tarifas'!J26</f>
        <v>26.3292</v>
      </c>
      <c r="E15" s="747">
        <v>27.75</v>
      </c>
      <c r="F15" s="747">
        <v>35.17</v>
      </c>
      <c r="G15" s="747">
        <v>0.4</v>
      </c>
      <c r="H15" s="747">
        <v>9.9600000000000009</v>
      </c>
      <c r="I15" s="748">
        <f>MIN(E15:H15)</f>
        <v>0.4</v>
      </c>
      <c r="J15" s="749">
        <f>MAX(E15:H15)</f>
        <v>35.17</v>
      </c>
      <c r="K15" s="750">
        <f>IF(D15&lt;=J15,D15,J15)</f>
        <v>26.3292</v>
      </c>
      <c r="L15" s="180"/>
      <c r="M15" s="180"/>
      <c r="N15" s="180"/>
    </row>
    <row r="16" spans="2:14" ht="27" customHeight="1" x14ac:dyDescent="0.3">
      <c r="B16" s="1084" t="s">
        <v>670</v>
      </c>
      <c r="C16" s="1085"/>
      <c r="D16" s="743"/>
      <c r="E16" s="744"/>
      <c r="F16" s="744"/>
      <c r="G16" s="744"/>
      <c r="H16" s="744"/>
      <c r="I16" s="745"/>
      <c r="J16" s="745"/>
      <c r="K16" s="751"/>
      <c r="L16" s="180"/>
      <c r="M16" s="180"/>
      <c r="N16" s="180"/>
    </row>
    <row r="17" spans="2:11" ht="42.75" customHeight="1" x14ac:dyDescent="0.4">
      <c r="B17" s="727" t="s">
        <v>671</v>
      </c>
      <c r="C17" s="728" t="s">
        <v>672</v>
      </c>
      <c r="D17" s="752">
        <f>'Anexo VIII - tarifas'!G29</f>
        <v>512.63702128365492</v>
      </c>
      <c r="E17" s="753">
        <v>133.21</v>
      </c>
      <c r="F17" s="753">
        <v>146.5</v>
      </c>
      <c r="G17" s="753">
        <v>1452.86</v>
      </c>
      <c r="H17" s="753">
        <v>209.77</v>
      </c>
      <c r="I17" s="762">
        <f>MIN(E17:H17)</f>
        <v>133.21</v>
      </c>
      <c r="J17" s="762">
        <f>MAX(E17:H17)</f>
        <v>1452.86</v>
      </c>
      <c r="K17" s="761">
        <f>IF(D17&lt;=J17,D17,J17)</f>
        <v>512.63702128365492</v>
      </c>
    </row>
  </sheetData>
  <mergeCells count="9">
    <mergeCell ref="B16:C16"/>
    <mergeCell ref="B12:C12"/>
    <mergeCell ref="B14:C14"/>
    <mergeCell ref="D2:N2"/>
    <mergeCell ref="D3:N3"/>
    <mergeCell ref="D4:N4"/>
    <mergeCell ref="D7:J7"/>
    <mergeCell ref="B10:C11"/>
    <mergeCell ref="I10:J10"/>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3:I52"/>
  <sheetViews>
    <sheetView workbookViewId="0">
      <selection activeCell="H16" sqref="H16"/>
    </sheetView>
  </sheetViews>
  <sheetFormatPr defaultRowHeight="12.5" x14ac:dyDescent="0.25"/>
  <cols>
    <col min="1" max="3" width="8.7265625" customWidth="1"/>
    <col min="4" max="4" width="23.7265625" customWidth="1"/>
    <col min="5" max="5" width="20.26953125" customWidth="1"/>
    <col min="6" max="6" width="28.54296875" customWidth="1"/>
    <col min="7" max="7" width="19" customWidth="1"/>
    <col min="8" max="8" width="20" customWidth="1"/>
    <col min="9" max="9" width="25.7265625" customWidth="1"/>
    <col min="10" max="10" width="13.7265625" customWidth="1"/>
    <col min="11" max="11" width="18.81640625" customWidth="1"/>
    <col min="12" max="12" width="15.26953125" customWidth="1"/>
    <col min="13" max="26" width="8.7265625" customWidth="1"/>
    <col min="27" max="1025" width="14.453125" customWidth="1"/>
  </cols>
  <sheetData>
    <row r="3" spans="2:9" ht="12.75" customHeight="1" x14ac:dyDescent="0.35">
      <c r="B3" s="949" t="s">
        <v>70</v>
      </c>
      <c r="C3" s="949"/>
      <c r="D3" s="949"/>
      <c r="E3" s="949"/>
      <c r="F3" s="949"/>
      <c r="G3" s="949"/>
      <c r="H3" s="949"/>
      <c r="I3" s="949"/>
    </row>
    <row r="4" spans="2:9" ht="12.75" customHeight="1" x14ac:dyDescent="0.35">
      <c r="B4" s="950" t="s">
        <v>71</v>
      </c>
      <c r="C4" s="950"/>
      <c r="D4" s="950"/>
      <c r="E4" s="950"/>
      <c r="F4" s="950"/>
      <c r="G4" s="950"/>
      <c r="H4" s="950"/>
      <c r="I4" s="950"/>
    </row>
    <row r="5" spans="2:9" ht="12.75" customHeight="1" x14ac:dyDescent="0.35">
      <c r="B5" s="951"/>
      <c r="C5" s="951"/>
      <c r="D5" s="951"/>
      <c r="E5" s="951"/>
      <c r="F5" s="951"/>
      <c r="G5" s="951"/>
      <c r="H5" s="951"/>
      <c r="I5" s="951"/>
    </row>
    <row r="6" spans="2:9" ht="12.75" customHeight="1" x14ac:dyDescent="0.25">
      <c r="B6" s="7"/>
      <c r="C6" s="7"/>
      <c r="D6" s="8"/>
      <c r="E6" s="8"/>
      <c r="F6" s="7"/>
      <c r="G6" s="7"/>
      <c r="H6" s="7"/>
      <c r="I6" s="8"/>
    </row>
    <row r="7" spans="2:9" ht="12.75" customHeight="1" x14ac:dyDescent="0.25">
      <c r="B7" s="7"/>
      <c r="C7" s="7"/>
      <c r="D7" s="8"/>
      <c r="E7" s="8"/>
      <c r="F7" s="7"/>
      <c r="G7" s="7"/>
      <c r="H7" s="7"/>
      <c r="I7" s="8"/>
    </row>
    <row r="8" spans="2:9" ht="12.75" customHeight="1" x14ac:dyDescent="0.35">
      <c r="B8" s="952" t="s">
        <v>72</v>
      </c>
      <c r="C8" s="952"/>
      <c r="D8" s="952"/>
      <c r="E8" s="952"/>
      <c r="F8" s="952"/>
      <c r="G8" s="952"/>
      <c r="H8" s="952"/>
      <c r="I8" s="9"/>
    </row>
    <row r="9" spans="2:9" ht="12.75" customHeight="1" x14ac:dyDescent="0.35">
      <c r="B9" s="7"/>
      <c r="C9" s="7"/>
      <c r="D9" s="8"/>
      <c r="E9" s="8"/>
      <c r="F9" s="7"/>
      <c r="G9" s="7"/>
      <c r="H9" s="7"/>
      <c r="I9" s="9"/>
    </row>
    <row r="10" spans="2:9" ht="13.9" customHeight="1" x14ac:dyDescent="0.35">
      <c r="B10" s="7"/>
      <c r="C10" s="7"/>
      <c r="D10" s="947" t="s">
        <v>73</v>
      </c>
      <c r="E10" s="947"/>
      <c r="F10" s="953">
        <v>2023</v>
      </c>
      <c r="G10" s="953"/>
      <c r="H10" s="892">
        <f>DW!L19</f>
        <v>64875530.712868191</v>
      </c>
      <c r="I10" s="9"/>
    </row>
    <row r="11" spans="2:9" ht="17.899999999999999" customHeight="1" x14ac:dyDescent="0.35">
      <c r="B11" s="7"/>
      <c r="C11" s="7"/>
      <c r="D11" s="946" t="s">
        <v>74</v>
      </c>
      <c r="E11" s="946"/>
      <c r="F11" s="946"/>
      <c r="G11" s="946"/>
      <c r="H11" s="13">
        <v>1.6E-2</v>
      </c>
      <c r="I11" s="9"/>
    </row>
    <row r="12" spans="2:9" ht="15.5" x14ac:dyDescent="0.35">
      <c r="B12" s="7"/>
      <c r="C12" s="7"/>
      <c r="D12" s="947" t="s">
        <v>75</v>
      </c>
      <c r="E12" s="947"/>
      <c r="F12" s="14">
        <v>2023</v>
      </c>
      <c r="G12" s="15"/>
      <c r="H12" s="11">
        <f>H10</f>
        <v>64875530.712868191</v>
      </c>
      <c r="I12" s="9"/>
    </row>
    <row r="13" spans="2:9" ht="14" x14ac:dyDescent="0.3">
      <c r="B13" s="7"/>
      <c r="C13" s="7"/>
      <c r="D13" s="946" t="s">
        <v>76</v>
      </c>
      <c r="E13" s="946"/>
      <c r="F13" s="946"/>
      <c r="G13" s="946"/>
      <c r="H13" s="17">
        <v>100</v>
      </c>
      <c r="I13" s="18"/>
    </row>
    <row r="14" spans="2:9" ht="14" x14ac:dyDescent="0.3">
      <c r="B14" s="7"/>
      <c r="C14" s="7"/>
      <c r="D14" s="12" t="s">
        <v>77</v>
      </c>
      <c r="E14" s="19"/>
      <c r="F14" s="14">
        <v>2024</v>
      </c>
      <c r="G14" s="15"/>
      <c r="H14" s="11">
        <f>(H12)*(1.016)</f>
        <v>65913539.204274081</v>
      </c>
      <c r="I14" s="18"/>
    </row>
    <row r="15" spans="2:9" ht="19" customHeight="1" x14ac:dyDescent="0.3">
      <c r="B15" s="7"/>
      <c r="C15" s="7"/>
      <c r="D15" s="12" t="s">
        <v>77</v>
      </c>
      <c r="E15" s="19"/>
      <c r="F15" s="14">
        <v>2025</v>
      </c>
      <c r="G15" s="15"/>
      <c r="H15" s="11">
        <f>(H14)*(1.016)</f>
        <v>66968155.83154247</v>
      </c>
      <c r="I15" s="18"/>
    </row>
    <row r="16" spans="2:9" ht="16" customHeight="1" x14ac:dyDescent="0.3">
      <c r="B16" s="7"/>
      <c r="C16" s="7"/>
      <c r="D16" s="946" t="s">
        <v>78</v>
      </c>
      <c r="E16" s="946"/>
      <c r="F16" s="946"/>
      <c r="G16" s="946"/>
      <c r="H16" s="893">
        <f>DW!H19</f>
        <v>318.66171012639251</v>
      </c>
      <c r="I16" s="18"/>
    </row>
    <row r="17" spans="2:9" ht="12.75" customHeight="1" x14ac:dyDescent="0.3">
      <c r="B17" s="7"/>
      <c r="C17" s="7"/>
      <c r="D17" s="766" t="s">
        <v>79</v>
      </c>
      <c r="E17" s="20"/>
      <c r="F17" s="20"/>
      <c r="G17" s="20"/>
      <c r="H17" s="21"/>
      <c r="I17" s="18"/>
    </row>
    <row r="18" spans="2:9" ht="12.75" customHeight="1" x14ac:dyDescent="0.3">
      <c r="B18" s="7"/>
      <c r="C18" s="7"/>
      <c r="D18" s="20"/>
      <c r="E18" s="20"/>
      <c r="F18" s="20"/>
      <c r="G18" s="20"/>
      <c r="H18" s="21"/>
      <c r="I18" s="18"/>
    </row>
    <row r="19" spans="2:9" ht="12.75" customHeight="1" x14ac:dyDescent="0.25">
      <c r="B19" s="7"/>
      <c r="C19" s="7"/>
      <c r="D19" s="18"/>
      <c r="E19" s="8"/>
      <c r="F19" s="7"/>
      <c r="G19" s="7"/>
      <c r="H19" s="7"/>
      <c r="I19" s="8"/>
    </row>
    <row r="20" spans="2:9" s="26" customFormat="1" ht="32.25" customHeight="1" x14ac:dyDescent="0.3">
      <c r="B20" s="22"/>
      <c r="C20" s="25" t="s">
        <v>80</v>
      </c>
      <c r="D20" s="23" t="s">
        <v>81</v>
      </c>
      <c r="E20" s="24" t="s">
        <v>82</v>
      </c>
      <c r="F20" s="25" t="s">
        <v>83</v>
      </c>
      <c r="G20" s="23" t="s">
        <v>82</v>
      </c>
      <c r="H20" s="23" t="s">
        <v>84</v>
      </c>
      <c r="I20" s="22" t="s">
        <v>85</v>
      </c>
    </row>
    <row r="21" spans="2:9" ht="15" customHeight="1" x14ac:dyDescent="0.25">
      <c r="B21" s="27">
        <v>2024</v>
      </c>
      <c r="C21" s="27">
        <v>1</v>
      </c>
      <c r="D21" s="28">
        <f>H14</f>
        <v>65913539.204274081</v>
      </c>
      <c r="E21" s="28">
        <f t="shared" ref="E21:E45" si="0">D21/18500</f>
        <v>3562.8940110418421</v>
      </c>
      <c r="F21" s="28">
        <f>D21*0</f>
        <v>0</v>
      </c>
      <c r="G21" s="29">
        <v>0</v>
      </c>
      <c r="H21" s="30">
        <v>0</v>
      </c>
      <c r="I21" s="28">
        <f>F21*$H$16*1000</f>
        <v>0</v>
      </c>
    </row>
    <row r="22" spans="2:9" ht="15" customHeight="1" x14ac:dyDescent="0.25">
      <c r="B22" s="27">
        <f t="shared" ref="B22:B45" si="1">B21+1</f>
        <v>2025</v>
      </c>
      <c r="C22" s="27">
        <f t="shared" ref="C22:C45" si="2">C21+1</f>
        <v>2</v>
      </c>
      <c r="D22" s="28">
        <f t="shared" ref="D22:D45" si="3">D21*(1+$H$11)</f>
        <v>66968155.83154247</v>
      </c>
      <c r="E22" s="28">
        <f t="shared" si="0"/>
        <v>3619.9003152185119</v>
      </c>
      <c r="F22" s="28">
        <f>(D22/12)*6</f>
        <v>33484077.915771235</v>
      </c>
      <c r="G22" s="31">
        <f t="shared" ref="G22:G45" si="4">F22/18500</f>
        <v>1809.9501576092559</v>
      </c>
      <c r="H22" s="31">
        <f t="shared" ref="H22:H46" si="5">G22/12</f>
        <v>150.82917980077133</v>
      </c>
      <c r="I22" s="32">
        <f>F22*H16</f>
        <v>10670093530.645035</v>
      </c>
    </row>
    <row r="23" spans="2:9" ht="15" customHeight="1" x14ac:dyDescent="0.25">
      <c r="B23" s="27">
        <f t="shared" si="1"/>
        <v>2026</v>
      </c>
      <c r="C23" s="27">
        <f t="shared" si="2"/>
        <v>3</v>
      </c>
      <c r="D23" s="28">
        <f t="shared" si="3"/>
        <v>68039646.324847147</v>
      </c>
      <c r="E23" s="28">
        <f t="shared" si="0"/>
        <v>3677.8187202620079</v>
      </c>
      <c r="F23" s="28">
        <f t="shared" ref="F23:F45" si="6">D23</f>
        <v>68039646.324847147</v>
      </c>
      <c r="G23" s="31">
        <f t="shared" si="4"/>
        <v>3677.8187202620079</v>
      </c>
      <c r="H23" s="31">
        <f t="shared" si="5"/>
        <v>306.48489335516734</v>
      </c>
      <c r="I23" s="32">
        <f t="shared" ref="I23:I45" si="7">D23*$H$16</f>
        <v>21681630054.27071</v>
      </c>
    </row>
    <row r="24" spans="2:9" ht="15" customHeight="1" x14ac:dyDescent="0.25">
      <c r="B24" s="27">
        <f t="shared" si="1"/>
        <v>2027</v>
      </c>
      <c r="C24" s="27">
        <f t="shared" si="2"/>
        <v>4</v>
      </c>
      <c r="D24" s="28">
        <f t="shared" si="3"/>
        <v>69128280.666044697</v>
      </c>
      <c r="E24" s="28">
        <f t="shared" si="0"/>
        <v>3736.6638197861998</v>
      </c>
      <c r="F24" s="28">
        <f t="shared" si="6"/>
        <v>69128280.666044697</v>
      </c>
      <c r="G24" s="31">
        <f t="shared" si="4"/>
        <v>3736.6638197861998</v>
      </c>
      <c r="H24" s="31">
        <f t="shared" si="5"/>
        <v>311.38865164884999</v>
      </c>
      <c r="I24" s="32">
        <f t="shared" si="7"/>
        <v>22028536135.139038</v>
      </c>
    </row>
    <row r="25" spans="2:9" ht="15" customHeight="1" x14ac:dyDescent="0.25">
      <c r="B25" s="27">
        <f t="shared" si="1"/>
        <v>2028</v>
      </c>
      <c r="C25" s="27">
        <f t="shared" si="2"/>
        <v>5</v>
      </c>
      <c r="D25" s="28">
        <f t="shared" si="3"/>
        <v>70234333.156701416</v>
      </c>
      <c r="E25" s="28">
        <f t="shared" si="0"/>
        <v>3796.4504409027791</v>
      </c>
      <c r="F25" s="28">
        <f t="shared" si="6"/>
        <v>70234333.156701416</v>
      </c>
      <c r="G25" s="31">
        <f t="shared" si="4"/>
        <v>3796.4504409027791</v>
      </c>
      <c r="H25" s="31">
        <f t="shared" si="5"/>
        <v>316.37087007523161</v>
      </c>
      <c r="I25" s="32">
        <f t="shared" si="7"/>
        <v>22380992713.301266</v>
      </c>
    </row>
    <row r="26" spans="2:9" ht="15" customHeight="1" x14ac:dyDescent="0.25">
      <c r="B26" s="27">
        <f t="shared" si="1"/>
        <v>2029</v>
      </c>
      <c r="C26" s="27">
        <f t="shared" si="2"/>
        <v>6</v>
      </c>
      <c r="D26" s="28">
        <f t="shared" si="3"/>
        <v>71358082.487208635</v>
      </c>
      <c r="E26" s="28">
        <f t="shared" si="0"/>
        <v>3857.1936479572237</v>
      </c>
      <c r="F26" s="28">
        <f t="shared" si="6"/>
        <v>71358082.487208635</v>
      </c>
      <c r="G26" s="31">
        <f t="shared" si="4"/>
        <v>3857.1936479572237</v>
      </c>
      <c r="H26" s="31">
        <f t="shared" si="5"/>
        <v>321.43280399643533</v>
      </c>
      <c r="I26" s="32">
        <f t="shared" si="7"/>
        <v>22739088596.714085</v>
      </c>
    </row>
    <row r="27" spans="2:9" ht="15" customHeight="1" x14ac:dyDescent="0.25">
      <c r="B27" s="27">
        <f t="shared" si="1"/>
        <v>2030</v>
      </c>
      <c r="C27" s="27">
        <f t="shared" si="2"/>
        <v>7</v>
      </c>
      <c r="D27" s="28">
        <f t="shared" si="3"/>
        <v>72499811.807003975</v>
      </c>
      <c r="E27" s="28">
        <f t="shared" si="0"/>
        <v>3918.9087463245392</v>
      </c>
      <c r="F27" s="28">
        <f t="shared" si="6"/>
        <v>72499811.807003975</v>
      </c>
      <c r="G27" s="31">
        <f t="shared" si="4"/>
        <v>3918.9087463245392</v>
      </c>
      <c r="H27" s="31">
        <f t="shared" si="5"/>
        <v>326.57572886037826</v>
      </c>
      <c r="I27" s="32">
        <f t="shared" si="7"/>
        <v>23102914014.261509</v>
      </c>
    </row>
    <row r="28" spans="2:9" ht="15" customHeight="1" x14ac:dyDescent="0.25">
      <c r="B28" s="27">
        <f t="shared" si="1"/>
        <v>2031</v>
      </c>
      <c r="C28" s="27">
        <f t="shared" si="2"/>
        <v>8</v>
      </c>
      <c r="D28" s="33">
        <f t="shared" si="3"/>
        <v>73659808.795916036</v>
      </c>
      <c r="E28" s="28">
        <f t="shared" si="0"/>
        <v>3981.6112862657315</v>
      </c>
      <c r="F28" s="28">
        <f t="shared" si="6"/>
        <v>73659808.795916036</v>
      </c>
      <c r="G28" s="31">
        <f t="shared" si="4"/>
        <v>3981.6112862657315</v>
      </c>
      <c r="H28" s="31">
        <f t="shared" si="5"/>
        <v>331.80094052214429</v>
      </c>
      <c r="I28" s="32">
        <f t="shared" si="7"/>
        <v>23472560638.489693</v>
      </c>
    </row>
    <row r="29" spans="2:9" ht="15" customHeight="1" x14ac:dyDescent="0.25">
      <c r="B29" s="27">
        <f t="shared" si="1"/>
        <v>2032</v>
      </c>
      <c r="C29" s="27">
        <f t="shared" si="2"/>
        <v>9</v>
      </c>
      <c r="D29" s="33">
        <f t="shared" si="3"/>
        <v>74838365.73665069</v>
      </c>
      <c r="E29" s="28">
        <f t="shared" si="0"/>
        <v>4045.3170668459834</v>
      </c>
      <c r="F29" s="28">
        <f t="shared" si="6"/>
        <v>74838365.73665069</v>
      </c>
      <c r="G29" s="31">
        <f t="shared" si="4"/>
        <v>4045.3170668459834</v>
      </c>
      <c r="H29" s="31">
        <f t="shared" si="5"/>
        <v>337.10975557049863</v>
      </c>
      <c r="I29" s="32">
        <f t="shared" si="7"/>
        <v>23848121608.705528</v>
      </c>
    </row>
    <row r="30" spans="2:9" ht="15" customHeight="1" x14ac:dyDescent="0.25">
      <c r="B30" s="899">
        <f t="shared" si="1"/>
        <v>2033</v>
      </c>
      <c r="C30" s="900">
        <f t="shared" si="2"/>
        <v>10</v>
      </c>
      <c r="D30" s="901">
        <f t="shared" si="3"/>
        <v>76035779.588437095</v>
      </c>
      <c r="E30" s="902">
        <f t="shared" si="0"/>
        <v>4110.0421399155184</v>
      </c>
      <c r="F30" s="902">
        <f t="shared" si="6"/>
        <v>76035779.588437095</v>
      </c>
      <c r="G30" s="903">
        <f t="shared" si="4"/>
        <v>4110.0421399155184</v>
      </c>
      <c r="H30" s="904">
        <f t="shared" si="5"/>
        <v>342.50351165962655</v>
      </c>
      <c r="I30" s="905">
        <f t="shared" si="7"/>
        <v>24229691554.444813</v>
      </c>
    </row>
    <row r="31" spans="2:9" ht="15" customHeight="1" x14ac:dyDescent="0.25">
      <c r="B31" s="27">
        <f t="shared" si="1"/>
        <v>2034</v>
      </c>
      <c r="C31" s="40">
        <f t="shared" si="2"/>
        <v>11</v>
      </c>
      <c r="D31" s="33">
        <f t="shared" si="3"/>
        <v>77252352.061852083</v>
      </c>
      <c r="E31" s="28">
        <f t="shared" si="0"/>
        <v>4175.8028141541663</v>
      </c>
      <c r="F31" s="28">
        <f t="shared" si="6"/>
        <v>77252352.061852083</v>
      </c>
      <c r="G31" s="31">
        <f t="shared" si="4"/>
        <v>4175.8028141541663</v>
      </c>
      <c r="H31" s="41">
        <f t="shared" si="5"/>
        <v>347.98356784618051</v>
      </c>
      <c r="I31" s="32">
        <f t="shared" si="7"/>
        <v>24617366619.315929</v>
      </c>
    </row>
    <row r="32" spans="2:9" ht="15" customHeight="1" x14ac:dyDescent="0.25">
      <c r="B32" s="27">
        <f t="shared" si="1"/>
        <v>2035</v>
      </c>
      <c r="C32" s="27">
        <f t="shared" si="2"/>
        <v>12</v>
      </c>
      <c r="D32" s="33">
        <f t="shared" si="3"/>
        <v>78488389.694841713</v>
      </c>
      <c r="E32" s="28">
        <f t="shared" si="0"/>
        <v>4242.615659180633</v>
      </c>
      <c r="F32" s="28">
        <f t="shared" si="6"/>
        <v>78488389.694841713</v>
      </c>
      <c r="G32" s="31">
        <f t="shared" si="4"/>
        <v>4242.615659180633</v>
      </c>
      <c r="H32" s="31">
        <f t="shared" si="5"/>
        <v>353.55130493171941</v>
      </c>
      <c r="I32" s="32">
        <f t="shared" si="7"/>
        <v>25011244485.224983</v>
      </c>
    </row>
    <row r="33" spans="2:9" ht="15" customHeight="1" x14ac:dyDescent="0.25">
      <c r="B33" s="27">
        <f t="shared" si="1"/>
        <v>2036</v>
      </c>
      <c r="C33" s="27">
        <f t="shared" si="2"/>
        <v>13</v>
      </c>
      <c r="D33" s="33">
        <f t="shared" si="3"/>
        <v>79744203.929959178</v>
      </c>
      <c r="E33" s="28">
        <f t="shared" si="0"/>
        <v>4310.4975097275228</v>
      </c>
      <c r="F33" s="28">
        <f t="shared" si="6"/>
        <v>79744203.929959178</v>
      </c>
      <c r="G33" s="31">
        <f t="shared" si="4"/>
        <v>4310.4975097275228</v>
      </c>
      <c r="H33" s="31">
        <f t="shared" si="5"/>
        <v>359.20812581062688</v>
      </c>
      <c r="I33" s="32">
        <f t="shared" si="7"/>
        <v>25411424396.988583</v>
      </c>
    </row>
    <row r="34" spans="2:9" ht="15" customHeight="1" x14ac:dyDescent="0.25">
      <c r="B34" s="27">
        <f t="shared" si="1"/>
        <v>2037</v>
      </c>
      <c r="C34" s="27">
        <f t="shared" si="2"/>
        <v>14</v>
      </c>
      <c r="D34" s="33">
        <f t="shared" si="3"/>
        <v>81020111.19283852</v>
      </c>
      <c r="E34" s="28">
        <f t="shared" si="0"/>
        <v>4379.4654698831637</v>
      </c>
      <c r="F34" s="28">
        <f t="shared" si="6"/>
        <v>81020111.19283852</v>
      </c>
      <c r="G34" s="31">
        <f t="shared" si="4"/>
        <v>4379.4654698831637</v>
      </c>
      <c r="H34" s="31">
        <f t="shared" si="5"/>
        <v>364.95545582359699</v>
      </c>
      <c r="I34" s="32">
        <f t="shared" si="7"/>
        <v>25818007187.340397</v>
      </c>
    </row>
    <row r="35" spans="2:9" ht="15" customHeight="1" x14ac:dyDescent="0.25">
      <c r="B35" s="34">
        <f t="shared" si="1"/>
        <v>2038</v>
      </c>
      <c r="C35" s="35">
        <f t="shared" si="2"/>
        <v>15</v>
      </c>
      <c r="D35" s="36">
        <f t="shared" si="3"/>
        <v>82316432.971923932</v>
      </c>
      <c r="E35" s="37">
        <f t="shared" si="0"/>
        <v>4449.536917401294</v>
      </c>
      <c r="F35" s="37">
        <f t="shared" si="6"/>
        <v>82316432.971923932</v>
      </c>
      <c r="G35" s="38">
        <f t="shared" si="4"/>
        <v>4449.536917401294</v>
      </c>
      <c r="H35" s="39">
        <f t="shared" si="5"/>
        <v>370.7947431167745</v>
      </c>
      <c r="I35" s="765">
        <f t="shared" si="7"/>
        <v>26231095302.337841</v>
      </c>
    </row>
    <row r="36" spans="2:9" ht="15" customHeight="1" x14ac:dyDescent="0.25">
      <c r="B36" s="27">
        <f t="shared" si="1"/>
        <v>2039</v>
      </c>
      <c r="C36" s="40">
        <f t="shared" si="2"/>
        <v>16</v>
      </c>
      <c r="D36" s="33">
        <f t="shared" si="3"/>
        <v>83633495.89947471</v>
      </c>
      <c r="E36" s="28">
        <f t="shared" si="0"/>
        <v>4520.7295080797139</v>
      </c>
      <c r="F36" s="28">
        <f t="shared" si="6"/>
        <v>83633495.89947471</v>
      </c>
      <c r="G36" s="31">
        <f t="shared" si="4"/>
        <v>4520.7295080797139</v>
      </c>
      <c r="H36" s="41">
        <f t="shared" si="5"/>
        <v>376.72745900664285</v>
      </c>
      <c r="I36" s="32">
        <f t="shared" si="7"/>
        <v>26650792827.175247</v>
      </c>
    </row>
    <row r="37" spans="2:9" ht="15" customHeight="1" x14ac:dyDescent="0.25">
      <c r="B37" s="27">
        <f t="shared" si="1"/>
        <v>2040</v>
      </c>
      <c r="C37" s="40">
        <f t="shared" si="2"/>
        <v>17</v>
      </c>
      <c r="D37" s="33">
        <f t="shared" si="3"/>
        <v>84971631.833866313</v>
      </c>
      <c r="E37" s="28">
        <f t="shared" si="0"/>
        <v>4593.0611802089898</v>
      </c>
      <c r="F37" s="28">
        <f t="shared" si="6"/>
        <v>84971631.833866313</v>
      </c>
      <c r="G37" s="31">
        <f t="shared" si="4"/>
        <v>4593.0611802089898</v>
      </c>
      <c r="H37" s="41">
        <f t="shared" si="5"/>
        <v>382.75509835074917</v>
      </c>
      <c r="I37" s="32">
        <f t="shared" si="7"/>
        <v>27077205512.410053</v>
      </c>
    </row>
    <row r="38" spans="2:9" ht="15" customHeight="1" x14ac:dyDescent="0.25">
      <c r="B38" s="27">
        <f t="shared" si="1"/>
        <v>2041</v>
      </c>
      <c r="C38" s="27">
        <f t="shared" si="2"/>
        <v>18</v>
      </c>
      <c r="D38" s="33">
        <f t="shared" si="3"/>
        <v>86331177.943208173</v>
      </c>
      <c r="E38" s="28">
        <f t="shared" si="0"/>
        <v>4666.5501590923341</v>
      </c>
      <c r="F38" s="28">
        <f t="shared" si="6"/>
        <v>86331177.943208173</v>
      </c>
      <c r="G38" s="31">
        <f t="shared" si="4"/>
        <v>4666.5501590923341</v>
      </c>
      <c r="H38" s="31">
        <f t="shared" si="5"/>
        <v>388.87917992436115</v>
      </c>
      <c r="I38" s="32">
        <f t="shared" si="7"/>
        <v>27510440800.608612</v>
      </c>
    </row>
    <row r="39" spans="2:9" ht="15" customHeight="1" x14ac:dyDescent="0.25">
      <c r="B39" s="27">
        <f t="shared" si="1"/>
        <v>2042</v>
      </c>
      <c r="C39" s="27">
        <f t="shared" si="2"/>
        <v>19</v>
      </c>
      <c r="D39" s="33">
        <f t="shared" si="3"/>
        <v>87712476.790299505</v>
      </c>
      <c r="E39" s="28">
        <f t="shared" si="0"/>
        <v>4741.214961637811</v>
      </c>
      <c r="F39" s="28">
        <f t="shared" si="6"/>
        <v>87712476.790299505</v>
      </c>
      <c r="G39" s="31">
        <f t="shared" si="4"/>
        <v>4741.214961637811</v>
      </c>
      <c r="H39" s="31">
        <f t="shared" si="5"/>
        <v>395.1012468031509</v>
      </c>
      <c r="I39" s="32">
        <f t="shared" si="7"/>
        <v>27950607853.41835</v>
      </c>
    </row>
    <row r="40" spans="2:9" ht="15" customHeight="1" x14ac:dyDescent="0.25">
      <c r="B40" s="27">
        <f t="shared" si="1"/>
        <v>2043</v>
      </c>
      <c r="C40" s="27">
        <f t="shared" si="2"/>
        <v>20</v>
      </c>
      <c r="D40" s="33">
        <f t="shared" si="3"/>
        <v>89115876.418944299</v>
      </c>
      <c r="E40" s="28">
        <f t="shared" si="0"/>
        <v>4817.074401024016</v>
      </c>
      <c r="F40" s="28">
        <f t="shared" si="6"/>
        <v>89115876.418944299</v>
      </c>
      <c r="G40" s="31">
        <f t="shared" si="4"/>
        <v>4817.074401024016</v>
      </c>
      <c r="H40" s="31">
        <f t="shared" si="5"/>
        <v>401.42286675200131</v>
      </c>
      <c r="I40" s="32">
        <f t="shared" si="7"/>
        <v>28397817579.073048</v>
      </c>
    </row>
    <row r="41" spans="2:9" ht="15" customHeight="1" x14ac:dyDescent="0.25">
      <c r="B41" s="27">
        <f t="shared" si="1"/>
        <v>2044</v>
      </c>
      <c r="C41" s="27">
        <f t="shared" si="2"/>
        <v>21</v>
      </c>
      <c r="D41" s="33">
        <f t="shared" si="3"/>
        <v>90541730.44164741</v>
      </c>
      <c r="E41" s="28">
        <f t="shared" si="0"/>
        <v>4894.1475914404009</v>
      </c>
      <c r="F41" s="28">
        <f t="shared" si="6"/>
        <v>90541730.44164741</v>
      </c>
      <c r="G41" s="31">
        <f t="shared" si="4"/>
        <v>4894.1475914404009</v>
      </c>
      <c r="H41" s="31">
        <f t="shared" si="5"/>
        <v>407.84563262003343</v>
      </c>
      <c r="I41" s="32">
        <f t="shared" si="7"/>
        <v>28852182660.338215</v>
      </c>
    </row>
    <row r="42" spans="2:9" ht="15" customHeight="1" x14ac:dyDescent="0.25">
      <c r="B42" s="27">
        <f t="shared" si="1"/>
        <v>2045</v>
      </c>
      <c r="C42" s="27">
        <f t="shared" si="2"/>
        <v>22</v>
      </c>
      <c r="D42" s="33">
        <f t="shared" si="3"/>
        <v>91990398.128713772</v>
      </c>
      <c r="E42" s="28">
        <f t="shared" si="0"/>
        <v>4972.4539529034473</v>
      </c>
      <c r="F42" s="28">
        <f t="shared" si="6"/>
        <v>91990398.128713772</v>
      </c>
      <c r="G42" s="31">
        <f t="shared" si="4"/>
        <v>4972.4539529034473</v>
      </c>
      <c r="H42" s="31">
        <f t="shared" si="5"/>
        <v>414.37116274195392</v>
      </c>
      <c r="I42" s="32">
        <f t="shared" si="7"/>
        <v>29313817582.903629</v>
      </c>
    </row>
    <row r="43" spans="2:9" ht="15" customHeight="1" x14ac:dyDescent="0.25">
      <c r="B43" s="27">
        <f t="shared" si="1"/>
        <v>2046</v>
      </c>
      <c r="C43" s="27">
        <f t="shared" si="2"/>
        <v>23</v>
      </c>
      <c r="D43" s="33">
        <f t="shared" si="3"/>
        <v>93462244.498773187</v>
      </c>
      <c r="E43" s="28">
        <f t="shared" si="0"/>
        <v>5052.0132161499023</v>
      </c>
      <c r="F43" s="28">
        <f t="shared" si="6"/>
        <v>93462244.498773187</v>
      </c>
      <c r="G43" s="31">
        <f t="shared" si="4"/>
        <v>5052.0132161499023</v>
      </c>
      <c r="H43" s="31">
        <f t="shared" si="5"/>
        <v>421.00110134582519</v>
      </c>
      <c r="I43" s="32">
        <f t="shared" si="7"/>
        <v>29782838664.230083</v>
      </c>
    </row>
    <row r="44" spans="2:9" ht="15" customHeight="1" x14ac:dyDescent="0.25">
      <c r="B44" s="27">
        <f t="shared" si="1"/>
        <v>2047</v>
      </c>
      <c r="C44" s="27">
        <f t="shared" si="2"/>
        <v>24</v>
      </c>
      <c r="D44" s="33">
        <f t="shared" si="3"/>
        <v>94957640.410753563</v>
      </c>
      <c r="E44" s="28">
        <f t="shared" si="0"/>
        <v>5132.8454276083003</v>
      </c>
      <c r="F44" s="28">
        <f t="shared" si="6"/>
        <v>94957640.410753563</v>
      </c>
      <c r="G44" s="31">
        <f t="shared" si="4"/>
        <v>5132.8454276083003</v>
      </c>
      <c r="H44" s="31">
        <f t="shared" si="5"/>
        <v>427.73711896735836</v>
      </c>
      <c r="I44" s="32">
        <f t="shared" si="7"/>
        <v>30259364082.857765</v>
      </c>
    </row>
    <row r="45" spans="2:9" ht="15" customHeight="1" x14ac:dyDescent="0.25">
      <c r="B45" s="34">
        <f t="shared" si="1"/>
        <v>2048</v>
      </c>
      <c r="C45" s="35">
        <f t="shared" si="2"/>
        <v>25</v>
      </c>
      <c r="D45" s="36">
        <f t="shared" si="3"/>
        <v>96476962.657325625</v>
      </c>
      <c r="E45" s="37">
        <f t="shared" si="0"/>
        <v>5214.9709544500338</v>
      </c>
      <c r="F45" s="37">
        <f t="shared" si="6"/>
        <v>96476962.657325625</v>
      </c>
      <c r="G45" s="38">
        <f t="shared" si="4"/>
        <v>5214.9709544500338</v>
      </c>
      <c r="H45" s="39">
        <f t="shared" si="5"/>
        <v>434.58091287083613</v>
      </c>
      <c r="I45" s="765">
        <f t="shared" si="7"/>
        <v>30743513908.183495</v>
      </c>
    </row>
    <row r="46" spans="2:9" ht="15" customHeight="1" x14ac:dyDescent="0.25">
      <c r="B46" s="42"/>
      <c r="C46" s="948" t="s">
        <v>86</v>
      </c>
      <c r="D46" s="948"/>
      <c r="E46" s="948"/>
      <c r="F46" s="31">
        <f>SUM(F21:F45)</f>
        <v>1907293311.353003</v>
      </c>
      <c r="G46" s="31">
        <f>SUM(G21:G45)</f>
        <v>103096.935748811</v>
      </c>
      <c r="H46" s="31">
        <f t="shared" si="5"/>
        <v>8591.4113124009164</v>
      </c>
      <c r="I46" s="32">
        <f>SUM(I21:I45)</f>
        <v>607781348308.37781</v>
      </c>
    </row>
    <row r="47" spans="2:9" ht="12.75" customHeight="1" x14ac:dyDescent="0.25">
      <c r="B47" s="7"/>
      <c r="C47" s="7"/>
      <c r="D47" s="8"/>
      <c r="E47" s="8"/>
      <c r="F47" s="7"/>
      <c r="G47" s="7"/>
      <c r="H47" s="7"/>
      <c r="I47" s="8"/>
    </row>
    <row r="48" spans="2:9" ht="12.75" customHeight="1" x14ac:dyDescent="0.25">
      <c r="B48" s="945" t="s">
        <v>87</v>
      </c>
      <c r="C48" s="945"/>
      <c r="D48" s="945"/>
      <c r="E48" s="945"/>
      <c r="F48" s="945"/>
      <c r="G48" s="945"/>
      <c r="H48" s="945"/>
      <c r="I48" s="945"/>
    </row>
    <row r="49" spans="2:9" ht="12.75" customHeight="1" x14ac:dyDescent="0.25">
      <c r="B49" s="945"/>
      <c r="C49" s="945"/>
      <c r="D49" s="945"/>
      <c r="E49" s="945"/>
      <c r="F49" s="945"/>
      <c r="G49" s="945"/>
      <c r="H49" s="945"/>
      <c r="I49" s="945"/>
    </row>
    <row r="50" spans="2:9" ht="12.75" customHeight="1" x14ac:dyDescent="0.25">
      <c r="B50" s="945"/>
      <c r="C50" s="945"/>
      <c r="D50" s="945"/>
      <c r="E50" s="945"/>
      <c r="F50" s="945"/>
      <c r="G50" s="945"/>
      <c r="H50" s="945"/>
      <c r="I50" s="945"/>
    </row>
    <row r="51" spans="2:9" ht="10" customHeight="1" x14ac:dyDescent="0.25">
      <c r="B51" s="945"/>
      <c r="C51" s="945"/>
      <c r="D51" s="945"/>
      <c r="E51" s="945"/>
      <c r="F51" s="945"/>
      <c r="G51" s="945"/>
      <c r="H51" s="945"/>
      <c r="I51" s="945"/>
    </row>
    <row r="52" spans="2:9" ht="10" customHeight="1" x14ac:dyDescent="0.25">
      <c r="B52" s="945"/>
      <c r="C52" s="945"/>
      <c r="D52" s="945"/>
      <c r="E52" s="945"/>
      <c r="F52" s="945"/>
      <c r="G52" s="945"/>
      <c r="H52" s="945"/>
      <c r="I52" s="945"/>
    </row>
  </sheetData>
  <mergeCells count="12">
    <mergeCell ref="B3:I3"/>
    <mergeCell ref="B4:I4"/>
    <mergeCell ref="B5:I5"/>
    <mergeCell ref="B8:H8"/>
    <mergeCell ref="D10:E10"/>
    <mergeCell ref="F10:G10"/>
    <mergeCell ref="B48:I52"/>
    <mergeCell ref="D11:G11"/>
    <mergeCell ref="D12:E12"/>
    <mergeCell ref="D13:G13"/>
    <mergeCell ref="D16:G16"/>
    <mergeCell ref="C46:E46"/>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3:CB62"/>
  <sheetViews>
    <sheetView workbookViewId="0">
      <pane xSplit="1" topLeftCell="B1" activePane="topRight" state="frozen"/>
      <selection pane="topRight" activeCell="E51" sqref="E51"/>
    </sheetView>
  </sheetViews>
  <sheetFormatPr defaultRowHeight="12.5" x14ac:dyDescent="0.25"/>
  <cols>
    <col min="1" max="1" width="70.81640625" customWidth="1"/>
    <col min="2" max="2" width="16.453125" customWidth="1"/>
    <col min="3" max="3" width="15" customWidth="1"/>
    <col min="4" max="4" width="8.7265625" customWidth="1"/>
    <col min="5" max="5" width="18.54296875" customWidth="1"/>
    <col min="6" max="6" width="16.7265625" customWidth="1"/>
    <col min="7" max="7" width="8.7265625" customWidth="1"/>
    <col min="8" max="8" width="17.453125" customWidth="1"/>
    <col min="9" max="9" width="16.7265625" customWidth="1"/>
    <col min="10" max="10" width="8.7265625" customWidth="1"/>
    <col min="11" max="11" width="13.7265625" customWidth="1"/>
    <col min="12" max="12" width="16.453125" bestFit="1" customWidth="1"/>
    <col min="13" max="13" width="8.7265625" customWidth="1"/>
    <col min="14" max="14" width="14.81640625" bestFit="1" customWidth="1"/>
    <col min="15" max="15" width="16.453125" bestFit="1" customWidth="1"/>
    <col min="16" max="16" width="8.7265625" customWidth="1"/>
    <col min="17" max="17" width="15.81640625" customWidth="1"/>
    <col min="18" max="18" width="16.7265625" customWidth="1"/>
    <col min="19" max="19" width="8.7265625" customWidth="1"/>
    <col min="20" max="20" width="13.7265625" customWidth="1"/>
    <col min="21" max="21" width="16.453125" bestFit="1" customWidth="1"/>
    <col min="22" max="22" width="8.7265625" customWidth="1"/>
    <col min="23" max="23" width="13.7265625" customWidth="1"/>
    <col min="24" max="24" width="16.453125" bestFit="1" customWidth="1"/>
    <col min="25" max="25" width="8" customWidth="1"/>
    <col min="26" max="26" width="13.7265625" customWidth="1"/>
    <col min="27" max="27" width="16.453125" bestFit="1" customWidth="1"/>
    <col min="28" max="28" width="8.7265625" customWidth="1"/>
    <col min="29" max="29" width="13.7265625" customWidth="1"/>
    <col min="30" max="30" width="16.453125" bestFit="1" customWidth="1"/>
    <col min="31" max="31" width="8" customWidth="1"/>
    <col min="32" max="32" width="15.81640625" customWidth="1"/>
    <col min="33" max="33" width="16.7265625" customWidth="1"/>
    <col min="34" max="34" width="8" customWidth="1"/>
    <col min="35" max="35" width="13.7265625" customWidth="1"/>
    <col min="36" max="36" width="16.453125" bestFit="1" customWidth="1"/>
    <col min="37" max="37" width="8.7265625" customWidth="1"/>
    <col min="38" max="38" width="13.7265625" customWidth="1"/>
    <col min="39" max="39" width="16.453125" bestFit="1" customWidth="1"/>
    <col min="40" max="40" width="8.7265625" customWidth="1"/>
    <col min="41" max="41" width="15.453125" customWidth="1"/>
    <col min="42" max="42" width="16.453125" bestFit="1" customWidth="1"/>
    <col min="43" max="43" width="8.7265625" customWidth="1"/>
    <col min="44" max="44" width="13.7265625" customWidth="1"/>
    <col min="45" max="45" width="16.453125" bestFit="1" customWidth="1"/>
    <col min="46" max="46" width="8.54296875" customWidth="1"/>
    <col min="47" max="47" width="19.7265625" customWidth="1"/>
    <col min="48" max="48" width="22.54296875" customWidth="1"/>
    <col min="49" max="49" width="8.7265625" customWidth="1"/>
    <col min="50" max="50" width="13.7265625" customWidth="1"/>
    <col min="51" max="51" width="16.453125" customWidth="1"/>
    <col min="52" max="52" width="8.7265625" customWidth="1"/>
    <col min="53" max="53" width="13.7265625" customWidth="1"/>
    <col min="54" max="54" width="16.453125" customWidth="1"/>
    <col min="55" max="55" width="8.7265625" customWidth="1"/>
    <col min="56" max="56" width="13.7265625" customWidth="1"/>
    <col min="57" max="57" width="16.453125" customWidth="1"/>
    <col min="58" max="58" width="9.81640625" customWidth="1"/>
    <col min="59" max="59" width="13.7265625" customWidth="1"/>
    <col min="60" max="60" width="16.453125" customWidth="1"/>
    <col min="61" max="61" width="8.7265625" customWidth="1"/>
    <col min="62" max="62" width="13.7265625" customWidth="1"/>
    <col min="63" max="63" width="16.453125" customWidth="1"/>
    <col min="64" max="64" width="8.81640625" customWidth="1"/>
    <col min="65" max="65" width="13.7265625" customWidth="1"/>
    <col min="66" max="66" width="16.453125" customWidth="1"/>
    <col min="67" max="67" width="8.81640625" customWidth="1"/>
    <col min="68" max="68" width="13.7265625" customWidth="1"/>
    <col min="69" max="69" width="16.453125" customWidth="1"/>
    <col min="70" max="70" width="8.54296875" customWidth="1"/>
    <col min="71" max="71" width="13.7265625" customWidth="1"/>
    <col min="72" max="72" width="16.453125" customWidth="1"/>
    <col min="73" max="73" width="8.7265625" customWidth="1"/>
    <col min="74" max="74" width="13.7265625" customWidth="1"/>
    <col min="75" max="75" width="16.453125" customWidth="1"/>
    <col min="76" max="76" width="8.7265625" customWidth="1"/>
    <col min="77" max="77" width="19.7265625" customWidth="1"/>
    <col min="78" max="78" width="22.54296875" customWidth="1"/>
    <col min="79" max="79" width="18.7265625" customWidth="1"/>
    <col min="80" max="80" width="9.26953125" customWidth="1"/>
    <col min="81" max="85" width="7.26953125" customWidth="1"/>
    <col min="86" max="90" width="8.26953125" customWidth="1"/>
    <col min="91" max="1024" width="14.453125" customWidth="1"/>
  </cols>
  <sheetData>
    <row r="3" spans="1:80" ht="12.75" customHeight="1" x14ac:dyDescent="0.35">
      <c r="A3" s="7"/>
      <c r="B3" s="949" t="s">
        <v>70</v>
      </c>
      <c r="C3" s="949"/>
      <c r="D3" s="949"/>
      <c r="E3" s="949"/>
      <c r="F3" s="949"/>
      <c r="G3" s="949"/>
      <c r="H3" s="949"/>
      <c r="I3" s="949"/>
      <c r="J3" s="7"/>
      <c r="K3" s="7"/>
      <c r="L3" s="7"/>
      <c r="M3" s="7"/>
      <c r="N3" s="7"/>
      <c r="O3" s="7"/>
      <c r="P3" s="7"/>
      <c r="Q3" s="7"/>
      <c r="R3" s="7"/>
      <c r="S3" s="7"/>
      <c r="T3" s="7"/>
      <c r="U3" s="7"/>
      <c r="V3" s="7"/>
      <c r="W3" s="7"/>
      <c r="X3" s="7"/>
      <c r="Y3" s="7"/>
      <c r="Z3" s="7"/>
      <c r="AA3" s="45"/>
      <c r="AB3" s="7"/>
      <c r="AC3" s="45"/>
      <c r="AD3" s="45"/>
      <c r="AE3" s="7"/>
      <c r="AF3" s="45"/>
      <c r="AG3" s="45"/>
      <c r="AH3" s="7"/>
      <c r="AI3" s="45"/>
      <c r="AJ3" s="45"/>
      <c r="AK3" s="7"/>
      <c r="AL3" s="45"/>
      <c r="AM3" s="45"/>
      <c r="AN3" s="7"/>
      <c r="AO3" s="45"/>
      <c r="AP3" s="45"/>
      <c r="AQ3" s="7"/>
      <c r="AR3" s="45"/>
      <c r="AS3" s="45"/>
      <c r="AT3" s="7"/>
      <c r="AU3" s="45"/>
      <c r="AV3" s="45"/>
      <c r="AW3" s="7"/>
      <c r="AX3" s="45"/>
      <c r="AY3" s="45"/>
      <c r="AZ3" s="7"/>
      <c r="BA3" s="45"/>
      <c r="BB3" s="45"/>
      <c r="BC3" s="7"/>
      <c r="BD3" s="45"/>
      <c r="BE3" s="45"/>
      <c r="BF3" s="7"/>
      <c r="BG3" s="45"/>
      <c r="BH3" s="45"/>
      <c r="BI3" s="7"/>
      <c r="BJ3" s="45"/>
      <c r="BK3" s="45"/>
      <c r="BL3" s="7"/>
      <c r="BM3" s="45"/>
      <c r="BN3" s="45"/>
      <c r="BO3" s="7"/>
      <c r="BP3" s="45"/>
      <c r="BQ3" s="45"/>
      <c r="BR3" s="7"/>
      <c r="BS3" s="45"/>
      <c r="BT3" s="45"/>
      <c r="BU3" s="7"/>
      <c r="BV3" s="45"/>
      <c r="BW3" s="45"/>
      <c r="BX3" s="7"/>
      <c r="BY3" s="45"/>
      <c r="BZ3" s="45"/>
      <c r="CA3" s="7"/>
      <c r="CB3" s="7"/>
    </row>
    <row r="4" spans="1:80" ht="12.75" customHeight="1" x14ac:dyDescent="0.35">
      <c r="A4" s="7"/>
      <c r="B4" s="950" t="s">
        <v>71</v>
      </c>
      <c r="C4" s="950"/>
      <c r="D4" s="950"/>
      <c r="E4" s="950"/>
      <c r="F4" s="950"/>
      <c r="G4" s="950"/>
      <c r="H4" s="950"/>
      <c r="I4" s="950"/>
      <c r="J4" s="7"/>
      <c r="K4" s="7"/>
      <c r="L4" s="7"/>
      <c r="M4" s="7"/>
      <c r="N4" s="7"/>
      <c r="O4" s="7"/>
      <c r="P4" s="7"/>
      <c r="Q4" s="7"/>
      <c r="R4" s="7"/>
      <c r="S4" s="7"/>
      <c r="T4" s="7"/>
      <c r="U4" s="7"/>
      <c r="V4" s="7"/>
      <c r="W4" s="7"/>
      <c r="X4" s="7"/>
      <c r="Y4" s="7"/>
      <c r="Z4" s="7"/>
      <c r="AA4" s="45"/>
      <c r="AB4" s="7"/>
      <c r="AC4" s="45"/>
      <c r="AD4" s="45"/>
      <c r="AE4" s="7"/>
      <c r="AF4" s="45"/>
      <c r="AG4" s="45"/>
      <c r="AH4" s="7"/>
      <c r="AI4" s="45"/>
      <c r="AJ4" s="45"/>
      <c r="AK4" s="7"/>
      <c r="AL4" s="45"/>
      <c r="AM4" s="45"/>
      <c r="AN4" s="7"/>
      <c r="AO4" s="45"/>
      <c r="AP4" s="45"/>
      <c r="AQ4" s="7"/>
      <c r="AR4" s="45"/>
      <c r="AS4" s="45"/>
      <c r="AT4" s="7"/>
      <c r="AU4" s="45"/>
      <c r="AV4" s="45"/>
      <c r="AW4" s="7"/>
      <c r="AX4" s="45"/>
      <c r="AY4" s="45"/>
      <c r="AZ4" s="7"/>
      <c r="BA4" s="45"/>
      <c r="BB4" s="45"/>
      <c r="BC4" s="7"/>
      <c r="BD4" s="45"/>
      <c r="BE4" s="45"/>
      <c r="BF4" s="7"/>
      <c r="BG4" s="45"/>
      <c r="BH4" s="45"/>
      <c r="BI4" s="7"/>
      <c r="BJ4" s="45"/>
      <c r="BK4" s="45"/>
      <c r="BL4" s="7"/>
      <c r="BM4" s="45"/>
      <c r="BN4" s="45"/>
      <c r="BO4" s="7"/>
      <c r="BP4" s="45"/>
      <c r="BQ4" s="45"/>
      <c r="BR4" s="7"/>
      <c r="BS4" s="45"/>
      <c r="BT4" s="45"/>
      <c r="BU4" s="7"/>
      <c r="BV4" s="45"/>
      <c r="BW4" s="45"/>
      <c r="BX4" s="7"/>
      <c r="BY4" s="45"/>
      <c r="BZ4" s="45"/>
      <c r="CA4" s="7"/>
      <c r="CB4" s="7"/>
    </row>
    <row r="5" spans="1:80" ht="12.75" customHeight="1" x14ac:dyDescent="0.35">
      <c r="A5" s="7"/>
      <c r="B5" s="951"/>
      <c r="C5" s="951"/>
      <c r="D5" s="951"/>
      <c r="E5" s="951"/>
      <c r="F5" s="951"/>
      <c r="G5" s="951"/>
      <c r="H5" s="951"/>
      <c r="I5" s="951"/>
      <c r="J5" s="7"/>
      <c r="K5" s="7"/>
      <c r="L5" s="7"/>
      <c r="M5" s="7"/>
      <c r="N5" s="7"/>
      <c r="O5" s="7"/>
      <c r="P5" s="7"/>
      <c r="Q5" s="7"/>
      <c r="R5" s="7"/>
      <c r="S5" s="7"/>
      <c r="T5" s="7"/>
      <c r="U5" s="7"/>
      <c r="V5" s="7"/>
      <c r="W5" s="7"/>
      <c r="X5" s="7"/>
      <c r="Y5" s="7"/>
      <c r="Z5" s="7"/>
      <c r="AA5" s="45"/>
      <c r="AB5" s="7"/>
      <c r="AC5" s="45"/>
      <c r="AD5" s="45"/>
      <c r="AE5" s="7"/>
      <c r="AF5" s="45"/>
      <c r="AG5" s="45"/>
      <c r="AH5" s="7"/>
      <c r="AI5" s="45"/>
      <c r="AJ5" s="45"/>
      <c r="AK5" s="7"/>
      <c r="AL5" s="45"/>
      <c r="AM5" s="45"/>
      <c r="AN5" s="7"/>
      <c r="AO5" s="45"/>
      <c r="AP5" s="45"/>
      <c r="AQ5" s="7"/>
      <c r="AR5" s="45"/>
      <c r="AS5" s="45"/>
      <c r="AT5" s="7"/>
      <c r="AU5" s="45"/>
      <c r="AV5" s="45"/>
      <c r="AW5" s="7"/>
      <c r="AX5" s="45"/>
      <c r="AY5" s="45"/>
      <c r="AZ5" s="7"/>
      <c r="BA5" s="45"/>
      <c r="BB5" s="45"/>
      <c r="BC5" s="7"/>
      <c r="BD5" s="45"/>
      <c r="BE5" s="45"/>
      <c r="BF5" s="7"/>
      <c r="BG5" s="45"/>
      <c r="BH5" s="45"/>
      <c r="BI5" s="7"/>
      <c r="BJ5" s="45"/>
      <c r="BK5" s="45"/>
      <c r="BL5" s="7"/>
      <c r="BM5" s="45"/>
      <c r="BN5" s="45"/>
      <c r="BO5" s="7"/>
      <c r="BP5" s="45"/>
      <c r="BQ5" s="45"/>
      <c r="BR5" s="7"/>
      <c r="BS5" s="45"/>
      <c r="BT5" s="45"/>
      <c r="BU5" s="7"/>
      <c r="BV5" s="45"/>
      <c r="BW5" s="45"/>
      <c r="BX5" s="7"/>
      <c r="BY5" s="45"/>
      <c r="BZ5" s="45"/>
      <c r="CA5" s="7"/>
      <c r="CB5" s="7"/>
    </row>
    <row r="6" spans="1:80" ht="24.75" customHeight="1" x14ac:dyDescent="0.25">
      <c r="A6" s="7"/>
      <c r="B6" s="46"/>
      <c r="C6" s="46"/>
      <c r="D6" s="47"/>
      <c r="E6" s="48"/>
      <c r="F6" s="45"/>
      <c r="G6" s="47"/>
      <c r="H6" s="48"/>
      <c r="I6" s="45"/>
      <c r="J6" s="47"/>
      <c r="K6" s="48"/>
      <c r="L6" s="45"/>
      <c r="M6" s="47"/>
      <c r="N6" s="48"/>
      <c r="O6" s="45"/>
      <c r="P6" s="47"/>
      <c r="Q6" s="48"/>
      <c r="R6" s="45"/>
      <c r="S6" s="47"/>
      <c r="T6" s="48"/>
      <c r="U6" s="45"/>
      <c r="V6" s="47"/>
      <c r="W6" s="48"/>
      <c r="X6" s="45"/>
      <c r="Y6" s="47"/>
      <c r="Z6" s="48"/>
      <c r="AA6" s="45"/>
      <c r="AB6" s="47"/>
      <c r="AC6" s="48"/>
      <c r="AD6" s="45"/>
      <c r="AE6" s="47"/>
      <c r="AF6" s="48"/>
      <c r="AG6" s="45"/>
      <c r="AH6" s="47"/>
      <c r="AI6" s="48"/>
      <c r="AJ6" s="45"/>
      <c r="AK6" s="47"/>
      <c r="AL6" s="48"/>
      <c r="AM6" s="45"/>
      <c r="AN6" s="47"/>
      <c r="AO6" s="48"/>
      <c r="AP6" s="45"/>
      <c r="AQ6" s="47"/>
      <c r="AR6" s="48"/>
      <c r="AS6" s="45"/>
      <c r="AT6" s="47"/>
      <c r="AU6" s="48"/>
      <c r="AV6" s="45"/>
      <c r="AW6" s="47"/>
      <c r="AX6" s="48"/>
      <c r="AY6" s="45"/>
      <c r="AZ6" s="47"/>
      <c r="BA6" s="48"/>
      <c r="BB6" s="45"/>
      <c r="BC6" s="47"/>
      <c r="BD6" s="48"/>
      <c r="BE6" s="45"/>
      <c r="BF6" s="47"/>
      <c r="BG6" s="48"/>
      <c r="BH6" s="45"/>
      <c r="BI6" s="47"/>
      <c r="BJ6" s="48"/>
      <c r="BK6" s="45"/>
      <c r="BL6" s="47"/>
      <c r="BM6" s="48"/>
      <c r="BN6" s="45"/>
      <c r="BO6" s="47"/>
      <c r="BP6" s="48"/>
      <c r="BQ6" s="45"/>
      <c r="BR6" s="47"/>
      <c r="BS6" s="48"/>
      <c r="BT6" s="45"/>
      <c r="BU6" s="47"/>
      <c r="BV6" s="48"/>
      <c r="BW6" s="45"/>
      <c r="BX6" s="47"/>
      <c r="BY6" s="48"/>
      <c r="BZ6" s="45"/>
      <c r="CA6" s="7"/>
      <c r="CB6" s="7"/>
    </row>
    <row r="7" spans="1:80" ht="20.25" customHeight="1" x14ac:dyDescent="0.25">
      <c r="A7" s="962" t="s">
        <v>88</v>
      </c>
      <c r="B7" s="962"/>
      <c r="C7" s="49" t="s">
        <v>89</v>
      </c>
      <c r="D7" s="958">
        <v>1</v>
      </c>
      <c r="E7" s="958"/>
      <c r="F7" s="958"/>
      <c r="G7" s="958">
        <v>2</v>
      </c>
      <c r="H7" s="958"/>
      <c r="I7" s="958"/>
      <c r="J7" s="958">
        <v>3</v>
      </c>
      <c r="K7" s="958"/>
      <c r="L7" s="958"/>
      <c r="M7" s="958">
        <v>4</v>
      </c>
      <c r="N7" s="958"/>
      <c r="O7" s="958"/>
      <c r="P7" s="958">
        <v>5</v>
      </c>
      <c r="Q7" s="958"/>
      <c r="R7" s="958"/>
      <c r="S7" s="958">
        <v>6</v>
      </c>
      <c r="T7" s="958"/>
      <c r="U7" s="958"/>
      <c r="V7" s="958">
        <v>7</v>
      </c>
      <c r="W7" s="958"/>
      <c r="X7" s="958"/>
      <c r="Y7" s="958">
        <v>8</v>
      </c>
      <c r="Z7" s="958"/>
      <c r="AA7" s="958"/>
      <c r="AB7" s="958">
        <v>9</v>
      </c>
      <c r="AC7" s="958"/>
      <c r="AD7" s="958"/>
      <c r="AE7" s="958">
        <v>10</v>
      </c>
      <c r="AF7" s="958"/>
      <c r="AG7" s="958"/>
      <c r="AH7" s="958">
        <v>11</v>
      </c>
      <c r="AI7" s="958"/>
      <c r="AJ7" s="958"/>
      <c r="AK7" s="958">
        <v>12</v>
      </c>
      <c r="AL7" s="958"/>
      <c r="AM7" s="958"/>
      <c r="AN7" s="958">
        <v>13</v>
      </c>
      <c r="AO7" s="958"/>
      <c r="AP7" s="958"/>
      <c r="AQ7" s="958">
        <v>14</v>
      </c>
      <c r="AR7" s="958"/>
      <c r="AS7" s="958"/>
      <c r="AT7" s="958">
        <v>15</v>
      </c>
      <c r="AU7" s="958"/>
      <c r="AV7" s="958"/>
      <c r="AW7" s="958">
        <v>16</v>
      </c>
      <c r="AX7" s="958"/>
      <c r="AY7" s="958"/>
      <c r="AZ7" s="958">
        <v>17</v>
      </c>
      <c r="BA7" s="958"/>
      <c r="BB7" s="958"/>
      <c r="BC7" s="958">
        <v>18</v>
      </c>
      <c r="BD7" s="958"/>
      <c r="BE7" s="958"/>
      <c r="BF7" s="958">
        <v>19</v>
      </c>
      <c r="BG7" s="958"/>
      <c r="BH7" s="958"/>
      <c r="BI7" s="958">
        <v>20</v>
      </c>
      <c r="BJ7" s="958"/>
      <c r="BK7" s="958"/>
      <c r="BL7" s="958">
        <v>21</v>
      </c>
      <c r="BM7" s="958"/>
      <c r="BN7" s="958"/>
      <c r="BO7" s="958">
        <v>22</v>
      </c>
      <c r="BP7" s="958"/>
      <c r="BQ7" s="958"/>
      <c r="BR7" s="958">
        <v>23</v>
      </c>
      <c r="BS7" s="958"/>
      <c r="BT7" s="958"/>
      <c r="BU7" s="958">
        <v>24</v>
      </c>
      <c r="BV7" s="958"/>
      <c r="BW7" s="958"/>
      <c r="BX7" s="958">
        <v>25</v>
      </c>
      <c r="BY7" s="958"/>
      <c r="BZ7" s="958"/>
      <c r="CA7" s="7"/>
      <c r="CB7" s="7"/>
    </row>
    <row r="8" spans="1:80" ht="48.75" customHeight="1" x14ac:dyDescent="0.25">
      <c r="A8" s="50" t="s">
        <v>90</v>
      </c>
      <c r="B8" s="51" t="s">
        <v>91</v>
      </c>
      <c r="C8" s="52" t="s">
        <v>92</v>
      </c>
      <c r="D8" s="53" t="s">
        <v>93</v>
      </c>
      <c r="E8" s="52" t="s">
        <v>94</v>
      </c>
      <c r="F8" s="52" t="s">
        <v>95</v>
      </c>
      <c r="G8" s="53" t="s">
        <v>93</v>
      </c>
      <c r="H8" s="52" t="s">
        <v>94</v>
      </c>
      <c r="I8" s="52" t="s">
        <v>95</v>
      </c>
      <c r="J8" s="53" t="s">
        <v>93</v>
      </c>
      <c r="K8" s="52" t="s">
        <v>94</v>
      </c>
      <c r="L8" s="52" t="s">
        <v>95</v>
      </c>
      <c r="M8" s="53" t="s">
        <v>93</v>
      </c>
      <c r="N8" s="52" t="s">
        <v>94</v>
      </c>
      <c r="O8" s="52" t="s">
        <v>95</v>
      </c>
      <c r="P8" s="53" t="s">
        <v>93</v>
      </c>
      <c r="Q8" s="52" t="s">
        <v>94</v>
      </c>
      <c r="R8" s="52" t="s">
        <v>95</v>
      </c>
      <c r="S8" s="53" t="s">
        <v>93</v>
      </c>
      <c r="T8" s="52" t="s">
        <v>94</v>
      </c>
      <c r="U8" s="52" t="s">
        <v>95</v>
      </c>
      <c r="V8" s="53" t="s">
        <v>93</v>
      </c>
      <c r="W8" s="52" t="s">
        <v>94</v>
      </c>
      <c r="X8" s="52" t="s">
        <v>95</v>
      </c>
      <c r="Y8" s="53" t="s">
        <v>93</v>
      </c>
      <c r="Z8" s="52" t="s">
        <v>94</v>
      </c>
      <c r="AA8" s="52" t="s">
        <v>95</v>
      </c>
      <c r="AB8" s="53" t="s">
        <v>93</v>
      </c>
      <c r="AC8" s="52" t="s">
        <v>94</v>
      </c>
      <c r="AD8" s="52" t="s">
        <v>95</v>
      </c>
      <c r="AE8" s="53" t="s">
        <v>93</v>
      </c>
      <c r="AF8" s="52" t="s">
        <v>94</v>
      </c>
      <c r="AG8" s="52" t="s">
        <v>95</v>
      </c>
      <c r="AH8" s="53" t="s">
        <v>93</v>
      </c>
      <c r="AI8" s="52" t="s">
        <v>94</v>
      </c>
      <c r="AJ8" s="52" t="s">
        <v>95</v>
      </c>
      <c r="AK8" s="53" t="s">
        <v>93</v>
      </c>
      <c r="AL8" s="52" t="s">
        <v>94</v>
      </c>
      <c r="AM8" s="52" t="s">
        <v>95</v>
      </c>
      <c r="AN8" s="53" t="s">
        <v>93</v>
      </c>
      <c r="AO8" s="52" t="s">
        <v>94</v>
      </c>
      <c r="AP8" s="52" t="s">
        <v>95</v>
      </c>
      <c r="AQ8" s="53" t="s">
        <v>93</v>
      </c>
      <c r="AR8" s="52" t="s">
        <v>94</v>
      </c>
      <c r="AS8" s="52" t="s">
        <v>95</v>
      </c>
      <c r="AT8" s="53" t="s">
        <v>93</v>
      </c>
      <c r="AU8" s="52" t="s">
        <v>94</v>
      </c>
      <c r="AV8" s="52" t="s">
        <v>95</v>
      </c>
      <c r="AW8" s="53" t="s">
        <v>93</v>
      </c>
      <c r="AX8" s="52" t="s">
        <v>94</v>
      </c>
      <c r="AY8" s="52" t="s">
        <v>95</v>
      </c>
      <c r="AZ8" s="53" t="s">
        <v>93</v>
      </c>
      <c r="BA8" s="52" t="s">
        <v>94</v>
      </c>
      <c r="BB8" s="52" t="s">
        <v>95</v>
      </c>
      <c r="BC8" s="53" t="s">
        <v>93</v>
      </c>
      <c r="BD8" s="52" t="s">
        <v>94</v>
      </c>
      <c r="BE8" s="52" t="s">
        <v>95</v>
      </c>
      <c r="BF8" s="53" t="s">
        <v>93</v>
      </c>
      <c r="BG8" s="52" t="s">
        <v>94</v>
      </c>
      <c r="BH8" s="52" t="s">
        <v>95</v>
      </c>
      <c r="BI8" s="53" t="s">
        <v>93</v>
      </c>
      <c r="BJ8" s="52" t="s">
        <v>94</v>
      </c>
      <c r="BK8" s="52" t="s">
        <v>95</v>
      </c>
      <c r="BL8" s="53" t="s">
        <v>93</v>
      </c>
      <c r="BM8" s="52" t="s">
        <v>94</v>
      </c>
      <c r="BN8" s="52" t="s">
        <v>95</v>
      </c>
      <c r="BO8" s="53" t="s">
        <v>93</v>
      </c>
      <c r="BP8" s="52" t="s">
        <v>94</v>
      </c>
      <c r="BQ8" s="52" t="s">
        <v>95</v>
      </c>
      <c r="BR8" s="53" t="s">
        <v>93</v>
      </c>
      <c r="BS8" s="52" t="s">
        <v>94</v>
      </c>
      <c r="BT8" s="52" t="s">
        <v>95</v>
      </c>
      <c r="BU8" s="53" t="s">
        <v>93</v>
      </c>
      <c r="BV8" s="52" t="s">
        <v>94</v>
      </c>
      <c r="BW8" s="52" t="s">
        <v>95</v>
      </c>
      <c r="BX8" s="53" t="s">
        <v>93</v>
      </c>
      <c r="BY8" s="52" t="s">
        <v>94</v>
      </c>
      <c r="BZ8" s="54" t="s">
        <v>95</v>
      </c>
      <c r="CA8" s="55" t="s">
        <v>96</v>
      </c>
      <c r="CB8" s="56">
        <v>0.68169999999999997</v>
      </c>
    </row>
    <row r="9" spans="1:80" ht="19.5" customHeight="1" x14ac:dyDescent="0.35">
      <c r="A9" s="959" t="s">
        <v>97</v>
      </c>
      <c r="B9" s="960"/>
      <c r="C9" s="960"/>
      <c r="D9" s="960"/>
      <c r="E9" s="960"/>
      <c r="F9" s="960"/>
      <c r="G9" s="57"/>
      <c r="H9" s="57"/>
      <c r="I9" s="57"/>
      <c r="J9" s="57"/>
      <c r="K9" s="57"/>
      <c r="L9" s="57"/>
      <c r="M9" s="57"/>
      <c r="N9" s="57"/>
      <c r="O9" s="57"/>
      <c r="P9" s="57"/>
      <c r="Q9" s="57"/>
      <c r="R9" s="57"/>
      <c r="S9" s="961"/>
      <c r="T9" s="961"/>
      <c r="U9" s="961"/>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8"/>
      <c r="CA9" s="59"/>
      <c r="CB9" s="7"/>
    </row>
    <row r="10" spans="1:80" ht="12.75" customHeight="1" x14ac:dyDescent="0.35">
      <c r="A10" s="790" t="s">
        <v>98</v>
      </c>
      <c r="B10" s="61">
        <v>29981.21</v>
      </c>
      <c r="C10" s="62">
        <f t="shared" ref="C10:C25" si="0">B10+(B10)*$CB$8+$F$61</f>
        <v>51668.960856999998</v>
      </c>
      <c r="D10" s="63">
        <v>1</v>
      </c>
      <c r="E10" s="62">
        <f>$C10*D10</f>
        <v>51668.960856999998</v>
      </c>
      <c r="F10" s="64">
        <f t="shared" ref="F10:F25" si="1">E10*12*0</f>
        <v>0</v>
      </c>
      <c r="G10" s="63">
        <f t="shared" ref="G10:G25" si="2">D10</f>
        <v>1</v>
      </c>
      <c r="H10" s="62">
        <f t="shared" ref="H10:H24" si="3">$C10*G10</f>
        <v>51668.960856999998</v>
      </c>
      <c r="I10" s="64">
        <f>H10*6</f>
        <v>310013.76514199999</v>
      </c>
      <c r="J10" s="63">
        <f t="shared" ref="J10:J25" si="4">G10</f>
        <v>1</v>
      </c>
      <c r="K10" s="62">
        <f t="shared" ref="K10:K25" si="5">$C10*J10</f>
        <v>51668.960856999998</v>
      </c>
      <c r="L10" s="64">
        <f t="shared" ref="L10:L25" si="6">K10*12</f>
        <v>620027.53028399998</v>
      </c>
      <c r="M10" s="63">
        <f t="shared" ref="M10:M25" si="7">J10</f>
        <v>1</v>
      </c>
      <c r="N10" s="62">
        <f t="shared" ref="N10:N13" si="8">$C10*M10</f>
        <v>51668.960856999998</v>
      </c>
      <c r="O10" s="64">
        <f t="shared" ref="O10:O13" si="9">N10*12</f>
        <v>620027.53028399998</v>
      </c>
      <c r="P10" s="63">
        <f t="shared" ref="P10:P25" si="10">M10</f>
        <v>1</v>
      </c>
      <c r="Q10" s="62">
        <f t="shared" ref="Q10:Q13" si="11">$C10*P10</f>
        <v>51668.960856999998</v>
      </c>
      <c r="R10" s="64">
        <f t="shared" ref="R10:R13" si="12">Q10*12</f>
        <v>620027.53028399998</v>
      </c>
      <c r="S10" s="63">
        <f>P10</f>
        <v>1</v>
      </c>
      <c r="T10" s="62">
        <f t="shared" ref="T10:T13" si="13">$C10*S10</f>
        <v>51668.960856999998</v>
      </c>
      <c r="U10" s="64">
        <f t="shared" ref="U10:U13" si="14">T10*12</f>
        <v>620027.53028399998</v>
      </c>
      <c r="V10" s="63">
        <f t="shared" ref="V10:V25" si="15">S10</f>
        <v>1</v>
      </c>
      <c r="W10" s="62">
        <f t="shared" ref="W10:W25" si="16">$C10*V10</f>
        <v>51668.960856999998</v>
      </c>
      <c r="X10" s="64">
        <f t="shared" ref="X10:X25" si="17">W10*12</f>
        <v>620027.53028399998</v>
      </c>
      <c r="Y10" s="63">
        <f t="shared" ref="Y10:Y25" si="18">V10</f>
        <v>1</v>
      </c>
      <c r="Z10" s="62">
        <f t="shared" ref="Z10:Z25" si="19">$C10*Y10</f>
        <v>51668.960856999998</v>
      </c>
      <c r="AA10" s="64">
        <f t="shared" ref="AA10:AA25" si="20">Z10*12</f>
        <v>620027.53028399998</v>
      </c>
      <c r="AB10" s="63">
        <f t="shared" ref="AB10:AB25" si="21">Y10</f>
        <v>1</v>
      </c>
      <c r="AC10" s="62">
        <f t="shared" ref="AC10:AC25" si="22">$C10*AB10</f>
        <v>51668.960856999998</v>
      </c>
      <c r="AD10" s="64">
        <f t="shared" ref="AD10:AD25" si="23">AC10*12</f>
        <v>620027.53028399998</v>
      </c>
      <c r="AE10" s="63">
        <f t="shared" ref="AE10:AE24" si="24">AB10</f>
        <v>1</v>
      </c>
      <c r="AF10" s="62">
        <f t="shared" ref="AF10:AF25" si="25">$C10*AE10</f>
        <v>51668.960856999998</v>
      </c>
      <c r="AG10" s="64">
        <f t="shared" ref="AG10:AG25" si="26">AF10*12</f>
        <v>620027.53028399998</v>
      </c>
      <c r="AH10" s="63">
        <f>'Memoria-equipamentoXfuncionario'!H49</f>
        <v>1</v>
      </c>
      <c r="AI10" s="62">
        <f t="shared" ref="AI10:AI25" si="27">$C10*AH10</f>
        <v>51668.960856999998</v>
      </c>
      <c r="AJ10" s="64">
        <f t="shared" ref="AJ10:AJ25" si="28">AI10*12</f>
        <v>620027.53028399998</v>
      </c>
      <c r="AK10" s="63">
        <f t="shared" ref="AK10:AK25" si="29">AH10</f>
        <v>1</v>
      </c>
      <c r="AL10" s="62">
        <f t="shared" ref="AL10:AL25" si="30">$C10*AK10</f>
        <v>51668.960856999998</v>
      </c>
      <c r="AM10" s="64">
        <f t="shared" ref="AM10:AM25" si="31">AL10*12</f>
        <v>620027.53028399998</v>
      </c>
      <c r="AN10" s="63">
        <f t="shared" ref="AN10:AN25" si="32">AK10</f>
        <v>1</v>
      </c>
      <c r="AO10" s="62">
        <f t="shared" ref="AO10:AO25" si="33">$C10*AN10</f>
        <v>51668.960856999998</v>
      </c>
      <c r="AP10" s="64">
        <f t="shared" ref="AP10:AP25" si="34">AO10*12</f>
        <v>620027.53028399998</v>
      </c>
      <c r="AQ10" s="63">
        <f t="shared" ref="AQ10:AQ25" si="35">AN10</f>
        <v>1</v>
      </c>
      <c r="AR10" s="62">
        <f t="shared" ref="AR10:AR25" si="36">$C10*AQ10</f>
        <v>51668.960856999998</v>
      </c>
      <c r="AS10" s="64">
        <f t="shared" ref="AS10:AS25" si="37">AR10*12</f>
        <v>620027.53028399998</v>
      </c>
      <c r="AT10" s="63">
        <f t="shared" ref="AT10:AT25" si="38">AQ10</f>
        <v>1</v>
      </c>
      <c r="AU10" s="62">
        <f t="shared" ref="AU10:AU25" si="39">$C10*AT10</f>
        <v>51668.960856999998</v>
      </c>
      <c r="AV10" s="64">
        <f t="shared" ref="AV10:AV25" si="40">AU10*12</f>
        <v>620027.53028399998</v>
      </c>
      <c r="AW10" s="63">
        <f>'Memoria-equipamentoXfuncionario'!J49</f>
        <v>1</v>
      </c>
      <c r="AX10" s="62">
        <f t="shared" ref="AX10:AX25" si="41">$C10*AW10</f>
        <v>51668.960856999998</v>
      </c>
      <c r="AY10" s="64">
        <f t="shared" ref="AY10:AY25" si="42">AX10*12</f>
        <v>620027.53028399998</v>
      </c>
      <c r="AZ10" s="63">
        <f t="shared" ref="AZ10:AZ25" si="43">AW10</f>
        <v>1</v>
      </c>
      <c r="BA10" s="62">
        <f t="shared" ref="BA10:BA25" si="44">$C10*AZ10</f>
        <v>51668.960856999998</v>
      </c>
      <c r="BB10" s="64">
        <f t="shared" ref="BB10:BB25" si="45">BA10*12</f>
        <v>620027.53028399998</v>
      </c>
      <c r="BC10" s="63">
        <f t="shared" ref="BC10:BC25" si="46">AZ10</f>
        <v>1</v>
      </c>
      <c r="BD10" s="62">
        <f t="shared" ref="BD10:BD25" si="47">$C10*BC10</f>
        <v>51668.960856999998</v>
      </c>
      <c r="BE10" s="64">
        <f t="shared" ref="BE10:BE25" si="48">BD10*12</f>
        <v>620027.53028399998</v>
      </c>
      <c r="BF10" s="63">
        <f t="shared" ref="BF10:BF25" si="49">BC10</f>
        <v>1</v>
      </c>
      <c r="BG10" s="62">
        <f t="shared" ref="BG10:BG25" si="50">$C10*BF10</f>
        <v>51668.960856999998</v>
      </c>
      <c r="BH10" s="64">
        <f t="shared" ref="BH10:BH25" si="51">BG10*12</f>
        <v>620027.53028399998</v>
      </c>
      <c r="BI10" s="63">
        <f t="shared" ref="BI10:BI25" si="52">BF10</f>
        <v>1</v>
      </c>
      <c r="BJ10" s="62">
        <f t="shared" ref="BJ10:BJ25" si="53">$C10*BI10</f>
        <v>51668.960856999998</v>
      </c>
      <c r="BK10" s="64">
        <f t="shared" ref="BK10:BK25" si="54">BJ10*12</f>
        <v>620027.53028399998</v>
      </c>
      <c r="BL10" s="63">
        <f t="shared" ref="BL10:BL25" si="55">BI10</f>
        <v>1</v>
      </c>
      <c r="BM10" s="62">
        <f t="shared" ref="BM10:BM25" si="56">$C10*BL10</f>
        <v>51668.960856999998</v>
      </c>
      <c r="BN10" s="64">
        <f t="shared" ref="BN10:BN25" si="57">BM10*12</f>
        <v>620027.53028399998</v>
      </c>
      <c r="BO10" s="63">
        <f t="shared" ref="BO10:BO25" si="58">BL10</f>
        <v>1</v>
      </c>
      <c r="BP10" s="62">
        <f t="shared" ref="BP10:BP25" si="59">$C10*BO10</f>
        <v>51668.960856999998</v>
      </c>
      <c r="BQ10" s="64">
        <f t="shared" ref="BQ10:BQ25" si="60">BP10*12</f>
        <v>620027.53028399998</v>
      </c>
      <c r="BR10" s="63">
        <f t="shared" ref="BR10:BR25" si="61">BO10</f>
        <v>1</v>
      </c>
      <c r="BS10" s="62">
        <f t="shared" ref="BS10:BS25" si="62">$C10*BR10</f>
        <v>51668.960856999998</v>
      </c>
      <c r="BT10" s="64">
        <f t="shared" ref="BT10:BT25" si="63">BS10*12</f>
        <v>620027.53028399998</v>
      </c>
      <c r="BU10" s="63">
        <f t="shared" ref="BU10:BU25" si="64">BR10</f>
        <v>1</v>
      </c>
      <c r="BV10" s="62">
        <f t="shared" ref="BV10:BV25" si="65">$C10*BU10</f>
        <v>51668.960856999998</v>
      </c>
      <c r="BW10" s="64">
        <f t="shared" ref="BW10:BW25" si="66">BV10*12</f>
        <v>620027.53028399998</v>
      </c>
      <c r="BX10" s="63">
        <f t="shared" ref="BX10:BX25" si="67">BU10</f>
        <v>1</v>
      </c>
      <c r="BY10" s="62">
        <f t="shared" ref="BY10:BY25" si="68">$C10*BX10</f>
        <v>51668.960856999998</v>
      </c>
      <c r="BZ10" s="65">
        <f t="shared" ref="BZ10:BZ19" si="69">BY10*12</f>
        <v>620027.53028399998</v>
      </c>
      <c r="CA10" s="66">
        <f t="shared" ref="CA10:CA26" si="70">F10+I10+L10+O10+R10+U10+X10+AA10+AD10+AG10+AJ10+AM10+AP10+AS10+AV10+AY10+BB10+BE10+BH10+BK10+BN10+BQ10+BT10+BW10+BZ10</f>
        <v>14570646.961674003</v>
      </c>
      <c r="CB10" s="7"/>
    </row>
    <row r="11" spans="1:80" ht="12.75" customHeight="1" x14ac:dyDescent="0.35">
      <c r="A11" s="790" t="s">
        <v>99</v>
      </c>
      <c r="B11" s="61">
        <v>22114.47</v>
      </c>
      <c r="C11" s="62">
        <f t="shared" si="0"/>
        <v>38439.464198999995</v>
      </c>
      <c r="D11" s="63">
        <v>1</v>
      </c>
      <c r="E11" s="62">
        <f>$C11*D11</f>
        <v>38439.464198999995</v>
      </c>
      <c r="F11" s="64">
        <f t="shared" si="1"/>
        <v>0</v>
      </c>
      <c r="G11" s="63">
        <f t="shared" ref="G11:G12" si="71">D11</f>
        <v>1</v>
      </c>
      <c r="H11" s="62">
        <f t="shared" ref="H11:H13" si="72">$C11*G11</f>
        <v>38439.464198999995</v>
      </c>
      <c r="I11" s="64">
        <f t="shared" ref="I11:I16" si="73">H11*6</f>
        <v>230636.78519399997</v>
      </c>
      <c r="J11" s="63">
        <f t="shared" ref="J11:J13" si="74">G11</f>
        <v>1</v>
      </c>
      <c r="K11" s="62">
        <f t="shared" ref="K11:K13" si="75">$C11*J11</f>
        <v>38439.464198999995</v>
      </c>
      <c r="L11" s="64">
        <f t="shared" ref="L11:L13" si="76">K11*12</f>
        <v>461273.57038799993</v>
      </c>
      <c r="M11" s="63">
        <f t="shared" ref="M11:M13" si="77">J11</f>
        <v>1</v>
      </c>
      <c r="N11" s="62">
        <f t="shared" si="8"/>
        <v>38439.464198999995</v>
      </c>
      <c r="O11" s="64">
        <f t="shared" si="9"/>
        <v>461273.57038799993</v>
      </c>
      <c r="P11" s="63">
        <v>1</v>
      </c>
      <c r="Q11" s="62">
        <f t="shared" si="11"/>
        <v>38439.464198999995</v>
      </c>
      <c r="R11" s="64">
        <f t="shared" si="12"/>
        <v>461273.57038799993</v>
      </c>
      <c r="S11" s="63">
        <v>1</v>
      </c>
      <c r="T11" s="62">
        <f t="shared" si="13"/>
        <v>38439.464198999995</v>
      </c>
      <c r="U11" s="64">
        <f t="shared" si="14"/>
        <v>461273.57038799993</v>
      </c>
      <c r="V11" s="63">
        <v>1</v>
      </c>
      <c r="W11" s="62">
        <f t="shared" si="16"/>
        <v>38439.464198999995</v>
      </c>
      <c r="X11" s="64">
        <f t="shared" si="17"/>
        <v>461273.57038799993</v>
      </c>
      <c r="Y11" s="63">
        <v>1</v>
      </c>
      <c r="Z11" s="62">
        <f t="shared" ref="Z11:Z13" si="78">$C11*Y11</f>
        <v>38439.464198999995</v>
      </c>
      <c r="AA11" s="64">
        <f t="shared" ref="AA11:AA13" si="79">Z11*12</f>
        <v>461273.57038799993</v>
      </c>
      <c r="AB11" s="63">
        <v>1</v>
      </c>
      <c r="AC11" s="62">
        <f t="shared" si="22"/>
        <v>38439.464198999995</v>
      </c>
      <c r="AD11" s="64">
        <f t="shared" si="23"/>
        <v>461273.57038799993</v>
      </c>
      <c r="AE11" s="63">
        <v>1</v>
      </c>
      <c r="AF11" s="62">
        <f t="shared" si="25"/>
        <v>38439.464198999995</v>
      </c>
      <c r="AG11" s="64">
        <f t="shared" si="26"/>
        <v>461273.57038799993</v>
      </c>
      <c r="AH11" s="63">
        <v>1</v>
      </c>
      <c r="AI11" s="62">
        <f t="shared" si="27"/>
        <v>38439.464198999995</v>
      </c>
      <c r="AJ11" s="64">
        <f t="shared" si="28"/>
        <v>461273.57038799993</v>
      </c>
      <c r="AK11" s="63">
        <v>1</v>
      </c>
      <c r="AL11" s="62">
        <f t="shared" si="30"/>
        <v>38439.464198999995</v>
      </c>
      <c r="AM11" s="64">
        <f t="shared" si="31"/>
        <v>461273.57038799993</v>
      </c>
      <c r="AN11" s="63">
        <v>1</v>
      </c>
      <c r="AO11" s="62">
        <f t="shared" si="33"/>
        <v>38439.464198999995</v>
      </c>
      <c r="AP11" s="64">
        <f t="shared" si="34"/>
        <v>461273.57038799993</v>
      </c>
      <c r="AQ11" s="63">
        <v>1</v>
      </c>
      <c r="AR11" s="62">
        <f t="shared" si="36"/>
        <v>38439.464198999995</v>
      </c>
      <c r="AS11" s="64">
        <f t="shared" si="37"/>
        <v>461273.57038799993</v>
      </c>
      <c r="AT11" s="63">
        <v>1</v>
      </c>
      <c r="AU11" s="62">
        <f t="shared" si="39"/>
        <v>38439.464198999995</v>
      </c>
      <c r="AV11" s="64">
        <f t="shared" si="40"/>
        <v>461273.57038799993</v>
      </c>
      <c r="AW11" s="63">
        <v>1</v>
      </c>
      <c r="AX11" s="62">
        <f t="shared" si="41"/>
        <v>38439.464198999995</v>
      </c>
      <c r="AY11" s="64">
        <f t="shared" si="42"/>
        <v>461273.57038799993</v>
      </c>
      <c r="AZ11" s="63">
        <v>1</v>
      </c>
      <c r="BA11" s="62">
        <f t="shared" si="44"/>
        <v>38439.464198999995</v>
      </c>
      <c r="BB11" s="64">
        <f t="shared" si="45"/>
        <v>461273.57038799993</v>
      </c>
      <c r="BC11" s="63">
        <v>1</v>
      </c>
      <c r="BD11" s="62">
        <f t="shared" si="47"/>
        <v>38439.464198999995</v>
      </c>
      <c r="BE11" s="64">
        <f t="shared" si="48"/>
        <v>461273.57038799993</v>
      </c>
      <c r="BF11" s="63">
        <v>1</v>
      </c>
      <c r="BG11" s="62">
        <f t="shared" si="50"/>
        <v>38439.464198999995</v>
      </c>
      <c r="BH11" s="64">
        <f t="shared" si="51"/>
        <v>461273.57038799993</v>
      </c>
      <c r="BI11" s="63">
        <v>1</v>
      </c>
      <c r="BJ11" s="62">
        <f t="shared" si="53"/>
        <v>38439.464198999995</v>
      </c>
      <c r="BK11" s="64">
        <f t="shared" si="54"/>
        <v>461273.57038799993</v>
      </c>
      <c r="BL11" s="63">
        <v>1</v>
      </c>
      <c r="BM11" s="62">
        <f t="shared" si="56"/>
        <v>38439.464198999995</v>
      </c>
      <c r="BN11" s="64">
        <f t="shared" si="57"/>
        <v>461273.57038799993</v>
      </c>
      <c r="BO11" s="63">
        <v>1</v>
      </c>
      <c r="BP11" s="62">
        <f t="shared" si="59"/>
        <v>38439.464198999995</v>
      </c>
      <c r="BQ11" s="64">
        <f t="shared" si="60"/>
        <v>461273.57038799993</v>
      </c>
      <c r="BR11" s="63">
        <v>1</v>
      </c>
      <c r="BS11" s="62">
        <f t="shared" si="62"/>
        <v>38439.464198999995</v>
      </c>
      <c r="BT11" s="64">
        <f t="shared" si="63"/>
        <v>461273.57038799993</v>
      </c>
      <c r="BU11" s="63">
        <v>1</v>
      </c>
      <c r="BV11" s="62">
        <f t="shared" si="65"/>
        <v>38439.464198999995</v>
      </c>
      <c r="BW11" s="64">
        <f t="shared" si="66"/>
        <v>461273.57038799993</v>
      </c>
      <c r="BX11" s="63">
        <v>1</v>
      </c>
      <c r="BY11" s="62">
        <f t="shared" si="68"/>
        <v>38439.464198999995</v>
      </c>
      <c r="BZ11" s="64">
        <f t="shared" si="69"/>
        <v>461273.57038799993</v>
      </c>
      <c r="CA11" s="67">
        <f t="shared" si="70"/>
        <v>10839928.904117998</v>
      </c>
      <c r="CB11" s="7"/>
    </row>
    <row r="12" spans="1:80" ht="12.75" customHeight="1" x14ac:dyDescent="0.35">
      <c r="A12" s="790" t="s">
        <v>100</v>
      </c>
      <c r="B12" s="61">
        <v>24380.83</v>
      </c>
      <c r="C12" s="62">
        <f t="shared" si="0"/>
        <v>42250.801810999998</v>
      </c>
      <c r="D12" s="63">
        <v>1</v>
      </c>
      <c r="E12" s="62">
        <f t="shared" ref="E12:E24" si="80">$C12*D12</f>
        <v>42250.801810999998</v>
      </c>
      <c r="F12" s="64">
        <f t="shared" si="1"/>
        <v>0</v>
      </c>
      <c r="G12" s="63">
        <f t="shared" si="71"/>
        <v>1</v>
      </c>
      <c r="H12" s="62">
        <f t="shared" si="72"/>
        <v>42250.801810999998</v>
      </c>
      <c r="I12" s="64">
        <f t="shared" si="73"/>
        <v>253504.81086599999</v>
      </c>
      <c r="J12" s="63">
        <f t="shared" si="74"/>
        <v>1</v>
      </c>
      <c r="K12" s="62">
        <f t="shared" si="75"/>
        <v>42250.801810999998</v>
      </c>
      <c r="L12" s="64">
        <f t="shared" si="76"/>
        <v>507009.62173199997</v>
      </c>
      <c r="M12" s="63">
        <f t="shared" si="77"/>
        <v>1</v>
      </c>
      <c r="N12" s="62">
        <f t="shared" si="8"/>
        <v>42250.801810999998</v>
      </c>
      <c r="O12" s="64">
        <f t="shared" si="9"/>
        <v>507009.62173199997</v>
      </c>
      <c r="P12" s="63">
        <v>1</v>
      </c>
      <c r="Q12" s="62">
        <f t="shared" si="11"/>
        <v>42250.801810999998</v>
      </c>
      <c r="R12" s="64">
        <f t="shared" si="12"/>
        <v>507009.62173199997</v>
      </c>
      <c r="S12" s="63">
        <v>1</v>
      </c>
      <c r="T12" s="62">
        <f t="shared" si="13"/>
        <v>42250.801810999998</v>
      </c>
      <c r="U12" s="64">
        <f t="shared" si="14"/>
        <v>507009.62173199997</v>
      </c>
      <c r="V12" s="63">
        <v>1</v>
      </c>
      <c r="W12" s="62">
        <f t="shared" si="16"/>
        <v>42250.801810999998</v>
      </c>
      <c r="X12" s="64">
        <f t="shared" si="17"/>
        <v>507009.62173199997</v>
      </c>
      <c r="Y12" s="63">
        <v>1</v>
      </c>
      <c r="Z12" s="62">
        <f t="shared" si="78"/>
        <v>42250.801810999998</v>
      </c>
      <c r="AA12" s="64">
        <f t="shared" si="79"/>
        <v>507009.62173199997</v>
      </c>
      <c r="AB12" s="63">
        <v>1</v>
      </c>
      <c r="AC12" s="62">
        <f t="shared" si="22"/>
        <v>42250.801810999998</v>
      </c>
      <c r="AD12" s="64">
        <f t="shared" si="23"/>
        <v>507009.62173199997</v>
      </c>
      <c r="AE12" s="63">
        <v>1</v>
      </c>
      <c r="AF12" s="62">
        <f t="shared" si="25"/>
        <v>42250.801810999998</v>
      </c>
      <c r="AG12" s="64">
        <f t="shared" si="26"/>
        <v>507009.62173199997</v>
      </c>
      <c r="AH12" s="63">
        <v>1</v>
      </c>
      <c r="AI12" s="62">
        <f t="shared" si="27"/>
        <v>42250.801810999998</v>
      </c>
      <c r="AJ12" s="64">
        <f t="shared" si="28"/>
        <v>507009.62173199997</v>
      </c>
      <c r="AK12" s="63">
        <v>1</v>
      </c>
      <c r="AL12" s="62">
        <f t="shared" si="30"/>
        <v>42250.801810999998</v>
      </c>
      <c r="AM12" s="64">
        <f t="shared" si="31"/>
        <v>507009.62173199997</v>
      </c>
      <c r="AN12" s="63">
        <v>1</v>
      </c>
      <c r="AO12" s="62">
        <f t="shared" si="33"/>
        <v>42250.801810999998</v>
      </c>
      <c r="AP12" s="64">
        <f t="shared" si="34"/>
        <v>507009.62173199997</v>
      </c>
      <c r="AQ12" s="63">
        <v>1</v>
      </c>
      <c r="AR12" s="62">
        <f t="shared" si="36"/>
        <v>42250.801810999998</v>
      </c>
      <c r="AS12" s="64">
        <f t="shared" si="37"/>
        <v>507009.62173199997</v>
      </c>
      <c r="AT12" s="63">
        <v>1</v>
      </c>
      <c r="AU12" s="62">
        <f t="shared" si="39"/>
        <v>42250.801810999998</v>
      </c>
      <c r="AV12" s="64">
        <f t="shared" si="40"/>
        <v>507009.62173199997</v>
      </c>
      <c r="AW12" s="63">
        <v>1</v>
      </c>
      <c r="AX12" s="62">
        <f t="shared" si="41"/>
        <v>42250.801810999998</v>
      </c>
      <c r="AY12" s="64">
        <f t="shared" si="42"/>
        <v>507009.62173199997</v>
      </c>
      <c r="AZ12" s="63">
        <v>1</v>
      </c>
      <c r="BA12" s="62">
        <f t="shared" si="44"/>
        <v>42250.801810999998</v>
      </c>
      <c r="BB12" s="64">
        <f t="shared" si="45"/>
        <v>507009.62173199997</v>
      </c>
      <c r="BC12" s="63">
        <v>1</v>
      </c>
      <c r="BD12" s="62">
        <f t="shared" si="47"/>
        <v>42250.801810999998</v>
      </c>
      <c r="BE12" s="64">
        <f t="shared" si="48"/>
        <v>507009.62173199997</v>
      </c>
      <c r="BF12" s="63">
        <v>1</v>
      </c>
      <c r="BG12" s="62">
        <f t="shared" si="50"/>
        <v>42250.801810999998</v>
      </c>
      <c r="BH12" s="64">
        <f t="shared" si="51"/>
        <v>507009.62173199997</v>
      </c>
      <c r="BI12" s="63">
        <v>1</v>
      </c>
      <c r="BJ12" s="62">
        <f t="shared" si="53"/>
        <v>42250.801810999998</v>
      </c>
      <c r="BK12" s="64">
        <f t="shared" si="54"/>
        <v>507009.62173199997</v>
      </c>
      <c r="BL12" s="63">
        <v>1</v>
      </c>
      <c r="BM12" s="62">
        <f t="shared" si="56"/>
        <v>42250.801810999998</v>
      </c>
      <c r="BN12" s="64">
        <f t="shared" si="57"/>
        <v>507009.62173199997</v>
      </c>
      <c r="BO12" s="63">
        <v>1</v>
      </c>
      <c r="BP12" s="62">
        <f t="shared" si="59"/>
        <v>42250.801810999998</v>
      </c>
      <c r="BQ12" s="64">
        <f t="shared" si="60"/>
        <v>507009.62173199997</v>
      </c>
      <c r="BR12" s="63">
        <v>1</v>
      </c>
      <c r="BS12" s="62">
        <f t="shared" si="62"/>
        <v>42250.801810999998</v>
      </c>
      <c r="BT12" s="64">
        <f t="shared" si="63"/>
        <v>507009.62173199997</v>
      </c>
      <c r="BU12" s="63">
        <v>1</v>
      </c>
      <c r="BV12" s="62">
        <f t="shared" si="65"/>
        <v>42250.801810999998</v>
      </c>
      <c r="BW12" s="64">
        <f t="shared" si="66"/>
        <v>507009.62173199997</v>
      </c>
      <c r="BX12" s="63">
        <v>1</v>
      </c>
      <c r="BY12" s="62">
        <f t="shared" si="68"/>
        <v>42250.801810999998</v>
      </c>
      <c r="BZ12" s="64">
        <f t="shared" si="69"/>
        <v>507009.62173199997</v>
      </c>
      <c r="CA12" s="67">
        <f t="shared" si="70"/>
        <v>11914726.110702002</v>
      </c>
      <c r="CB12" s="7"/>
    </row>
    <row r="13" spans="1:80" ht="12.65" customHeight="1" x14ac:dyDescent="0.35">
      <c r="A13" s="790" t="s">
        <v>101</v>
      </c>
      <c r="B13" s="61">
        <v>13985.83</v>
      </c>
      <c r="C13" s="62">
        <f t="shared" si="0"/>
        <v>24769.530310999999</v>
      </c>
      <c r="D13" s="63">
        <v>1</v>
      </c>
      <c r="E13" s="62">
        <f t="shared" si="80"/>
        <v>24769.530310999999</v>
      </c>
      <c r="F13" s="64">
        <f t="shared" si="1"/>
        <v>0</v>
      </c>
      <c r="G13" s="63">
        <f t="shared" ref="G13" si="81">D13</f>
        <v>1</v>
      </c>
      <c r="H13" s="62">
        <f t="shared" si="72"/>
        <v>24769.530310999999</v>
      </c>
      <c r="I13" s="64">
        <f t="shared" si="73"/>
        <v>148617.181866</v>
      </c>
      <c r="J13" s="63">
        <f t="shared" si="74"/>
        <v>1</v>
      </c>
      <c r="K13" s="62">
        <f t="shared" si="75"/>
        <v>24769.530310999999</v>
      </c>
      <c r="L13" s="64">
        <f t="shared" si="76"/>
        <v>297234.363732</v>
      </c>
      <c r="M13" s="63">
        <f t="shared" si="77"/>
        <v>1</v>
      </c>
      <c r="N13" s="62">
        <f t="shared" si="8"/>
        <v>24769.530310999999</v>
      </c>
      <c r="O13" s="64">
        <f t="shared" si="9"/>
        <v>297234.363732</v>
      </c>
      <c r="P13" s="63">
        <v>1</v>
      </c>
      <c r="Q13" s="62">
        <f t="shared" si="11"/>
        <v>24769.530310999999</v>
      </c>
      <c r="R13" s="64">
        <f t="shared" si="12"/>
        <v>297234.363732</v>
      </c>
      <c r="S13" s="63">
        <v>1</v>
      </c>
      <c r="T13" s="62">
        <f t="shared" si="13"/>
        <v>24769.530310999999</v>
      </c>
      <c r="U13" s="64">
        <f t="shared" si="14"/>
        <v>297234.363732</v>
      </c>
      <c r="V13" s="63">
        <v>1</v>
      </c>
      <c r="W13" s="62">
        <f t="shared" si="16"/>
        <v>24769.530310999999</v>
      </c>
      <c r="X13" s="64">
        <f t="shared" si="17"/>
        <v>297234.363732</v>
      </c>
      <c r="Y13" s="63">
        <v>1</v>
      </c>
      <c r="Z13" s="62">
        <f t="shared" si="78"/>
        <v>24769.530310999999</v>
      </c>
      <c r="AA13" s="64">
        <f t="shared" si="79"/>
        <v>297234.363732</v>
      </c>
      <c r="AB13" s="63">
        <v>1</v>
      </c>
      <c r="AC13" s="62">
        <f t="shared" si="22"/>
        <v>24769.530310999999</v>
      </c>
      <c r="AD13" s="64">
        <f t="shared" si="23"/>
        <v>297234.363732</v>
      </c>
      <c r="AE13" s="63">
        <v>1</v>
      </c>
      <c r="AF13" s="62">
        <f t="shared" si="25"/>
        <v>24769.530310999999</v>
      </c>
      <c r="AG13" s="64">
        <f t="shared" si="26"/>
        <v>297234.363732</v>
      </c>
      <c r="AH13" s="63">
        <v>1</v>
      </c>
      <c r="AI13" s="62">
        <f t="shared" si="27"/>
        <v>24769.530310999999</v>
      </c>
      <c r="AJ13" s="64">
        <f t="shared" si="28"/>
        <v>297234.363732</v>
      </c>
      <c r="AK13" s="63">
        <v>1</v>
      </c>
      <c r="AL13" s="62">
        <f t="shared" si="30"/>
        <v>24769.530310999999</v>
      </c>
      <c r="AM13" s="64">
        <f t="shared" si="31"/>
        <v>297234.363732</v>
      </c>
      <c r="AN13" s="63">
        <v>1</v>
      </c>
      <c r="AO13" s="62">
        <f t="shared" si="33"/>
        <v>24769.530310999999</v>
      </c>
      <c r="AP13" s="64">
        <f t="shared" si="34"/>
        <v>297234.363732</v>
      </c>
      <c r="AQ13" s="63">
        <v>1</v>
      </c>
      <c r="AR13" s="62">
        <f t="shared" si="36"/>
        <v>24769.530310999999</v>
      </c>
      <c r="AS13" s="64">
        <f t="shared" si="37"/>
        <v>297234.363732</v>
      </c>
      <c r="AT13" s="63">
        <v>1</v>
      </c>
      <c r="AU13" s="62">
        <f t="shared" si="39"/>
        <v>24769.530310999999</v>
      </c>
      <c r="AV13" s="64">
        <f t="shared" si="40"/>
        <v>297234.363732</v>
      </c>
      <c r="AW13" s="63">
        <v>1</v>
      </c>
      <c r="AX13" s="62">
        <f t="shared" si="41"/>
        <v>24769.530310999999</v>
      </c>
      <c r="AY13" s="64">
        <f t="shared" si="42"/>
        <v>297234.363732</v>
      </c>
      <c r="AZ13" s="63">
        <v>1</v>
      </c>
      <c r="BA13" s="62">
        <f t="shared" si="44"/>
        <v>24769.530310999999</v>
      </c>
      <c r="BB13" s="64">
        <f t="shared" si="45"/>
        <v>297234.363732</v>
      </c>
      <c r="BC13" s="63">
        <v>1</v>
      </c>
      <c r="BD13" s="62">
        <f t="shared" si="47"/>
        <v>24769.530310999999</v>
      </c>
      <c r="BE13" s="64">
        <f t="shared" si="48"/>
        <v>297234.363732</v>
      </c>
      <c r="BF13" s="63">
        <v>1</v>
      </c>
      <c r="BG13" s="62">
        <f t="shared" si="50"/>
        <v>24769.530310999999</v>
      </c>
      <c r="BH13" s="64">
        <f t="shared" si="51"/>
        <v>297234.363732</v>
      </c>
      <c r="BI13" s="63">
        <v>1</v>
      </c>
      <c r="BJ13" s="62">
        <f t="shared" si="53"/>
        <v>24769.530310999999</v>
      </c>
      <c r="BK13" s="64">
        <f t="shared" si="54"/>
        <v>297234.363732</v>
      </c>
      <c r="BL13" s="63">
        <v>1</v>
      </c>
      <c r="BM13" s="62">
        <f t="shared" si="56"/>
        <v>24769.530310999999</v>
      </c>
      <c r="BN13" s="64">
        <f t="shared" si="57"/>
        <v>297234.363732</v>
      </c>
      <c r="BO13" s="63">
        <v>1</v>
      </c>
      <c r="BP13" s="62">
        <f t="shared" si="59"/>
        <v>24769.530310999999</v>
      </c>
      <c r="BQ13" s="64">
        <f t="shared" si="60"/>
        <v>297234.363732</v>
      </c>
      <c r="BR13" s="63">
        <v>1</v>
      </c>
      <c r="BS13" s="62">
        <f t="shared" si="62"/>
        <v>24769.530310999999</v>
      </c>
      <c r="BT13" s="64">
        <f t="shared" si="63"/>
        <v>297234.363732</v>
      </c>
      <c r="BU13" s="63">
        <v>1</v>
      </c>
      <c r="BV13" s="62">
        <f t="shared" si="65"/>
        <v>24769.530310999999</v>
      </c>
      <c r="BW13" s="64">
        <f t="shared" si="66"/>
        <v>297234.363732</v>
      </c>
      <c r="BX13" s="63">
        <v>1</v>
      </c>
      <c r="BY13" s="62">
        <f t="shared" si="68"/>
        <v>24769.530310999999</v>
      </c>
      <c r="BZ13" s="64">
        <f t="shared" si="69"/>
        <v>297234.363732</v>
      </c>
      <c r="CA13" s="67">
        <f t="shared" si="70"/>
        <v>6985007.5477019977</v>
      </c>
      <c r="CB13" s="7"/>
    </row>
    <row r="14" spans="1:80" ht="12.75" customHeight="1" x14ac:dyDescent="0.35">
      <c r="A14" s="790" t="s">
        <v>102</v>
      </c>
      <c r="B14" s="61">
        <v>59964.21</v>
      </c>
      <c r="C14" s="62">
        <f t="shared" si="0"/>
        <v>102091.371957</v>
      </c>
      <c r="D14" s="63">
        <v>1</v>
      </c>
      <c r="E14" s="62">
        <f t="shared" ref="E14:E15" si="82">$C14*D14</f>
        <v>102091.371957</v>
      </c>
      <c r="F14" s="64">
        <f t="shared" si="1"/>
        <v>0</v>
      </c>
      <c r="G14" s="63">
        <f t="shared" ref="G14:G16" si="83">D14</f>
        <v>1</v>
      </c>
      <c r="H14" s="62">
        <f t="shared" ref="H14:H15" si="84">$C14*G14</f>
        <v>102091.371957</v>
      </c>
      <c r="I14" s="64">
        <f t="shared" si="73"/>
        <v>612548.23174199997</v>
      </c>
      <c r="J14" s="63">
        <f t="shared" ref="J14:J16" si="85">G14</f>
        <v>1</v>
      </c>
      <c r="K14" s="62">
        <f t="shared" ref="K14:K16" si="86">$C14*J14</f>
        <v>102091.371957</v>
      </c>
      <c r="L14" s="64">
        <f t="shared" ref="L14:L16" si="87">K14*12</f>
        <v>1225096.4634839999</v>
      </c>
      <c r="M14" s="63">
        <f t="shared" ref="M14:M16" si="88">J14</f>
        <v>1</v>
      </c>
      <c r="N14" s="62">
        <f t="shared" ref="N14:N16" si="89">$C14*M14</f>
        <v>102091.371957</v>
      </c>
      <c r="O14" s="64">
        <f t="shared" ref="O14:O16" si="90">N14*12</f>
        <v>1225096.4634839999</v>
      </c>
      <c r="P14" s="63">
        <v>1</v>
      </c>
      <c r="Q14" s="62">
        <f t="shared" ref="Q14:Q16" si="91">$C14*P14</f>
        <v>102091.371957</v>
      </c>
      <c r="R14" s="64">
        <f t="shared" ref="R14:R16" si="92">Q14*12</f>
        <v>1225096.4634839999</v>
      </c>
      <c r="S14" s="63">
        <v>1</v>
      </c>
      <c r="T14" s="62">
        <f t="shared" ref="T14:T16" si="93">$C14*S14</f>
        <v>102091.371957</v>
      </c>
      <c r="U14" s="64">
        <f t="shared" ref="U14:U16" si="94">T14*12</f>
        <v>1225096.4634839999</v>
      </c>
      <c r="V14" s="63">
        <v>1</v>
      </c>
      <c r="W14" s="62">
        <f t="shared" ref="W14:W16" si="95">$C14*V14</f>
        <v>102091.371957</v>
      </c>
      <c r="X14" s="64">
        <f t="shared" ref="X14:X16" si="96">W14*12</f>
        <v>1225096.4634839999</v>
      </c>
      <c r="Y14" s="63">
        <v>1</v>
      </c>
      <c r="Z14" s="62">
        <f t="shared" ref="Z14:Z16" si="97">$C14*Y14</f>
        <v>102091.371957</v>
      </c>
      <c r="AA14" s="64">
        <f t="shared" ref="AA14:AA16" si="98">Z14*12</f>
        <v>1225096.4634839999</v>
      </c>
      <c r="AB14" s="63">
        <v>1</v>
      </c>
      <c r="AC14" s="62">
        <f t="shared" ref="AC14:AC16" si="99">$C14*AB14</f>
        <v>102091.371957</v>
      </c>
      <c r="AD14" s="64">
        <f t="shared" ref="AD14:AD16" si="100">AC14*12</f>
        <v>1225096.4634839999</v>
      </c>
      <c r="AE14" s="63">
        <v>1</v>
      </c>
      <c r="AF14" s="62">
        <f t="shared" ref="AF14:AF16" si="101">$C14*AE14</f>
        <v>102091.371957</v>
      </c>
      <c r="AG14" s="64">
        <f t="shared" ref="AG14:AG16" si="102">AF14*12</f>
        <v>1225096.4634839999</v>
      </c>
      <c r="AH14" s="63">
        <v>1</v>
      </c>
      <c r="AI14" s="62">
        <f t="shared" ref="AI14:AI16" si="103">$C14*AH14</f>
        <v>102091.371957</v>
      </c>
      <c r="AJ14" s="64">
        <f t="shared" ref="AJ14:AJ16" si="104">AI14*12</f>
        <v>1225096.4634839999</v>
      </c>
      <c r="AK14" s="63">
        <v>1</v>
      </c>
      <c r="AL14" s="62">
        <f t="shared" ref="AL14:AL16" si="105">$C14*AK14</f>
        <v>102091.371957</v>
      </c>
      <c r="AM14" s="64">
        <f t="shared" ref="AM14:AM16" si="106">AL14*12</f>
        <v>1225096.4634839999</v>
      </c>
      <c r="AN14" s="63">
        <v>1</v>
      </c>
      <c r="AO14" s="62">
        <f t="shared" ref="AO14:AO16" si="107">$C14*AN14</f>
        <v>102091.371957</v>
      </c>
      <c r="AP14" s="64">
        <f t="shared" ref="AP14:AP16" si="108">AO14*12</f>
        <v>1225096.4634839999</v>
      </c>
      <c r="AQ14" s="63">
        <v>1</v>
      </c>
      <c r="AR14" s="62">
        <f t="shared" ref="AR14:AR16" si="109">$C14*AQ14</f>
        <v>102091.371957</v>
      </c>
      <c r="AS14" s="64">
        <f t="shared" ref="AS14:AS16" si="110">AR14*12</f>
        <v>1225096.4634839999</v>
      </c>
      <c r="AT14" s="63">
        <v>1</v>
      </c>
      <c r="AU14" s="62">
        <f t="shared" ref="AU14:AU16" si="111">$C14*AT14</f>
        <v>102091.371957</v>
      </c>
      <c r="AV14" s="64">
        <f t="shared" ref="AV14:AV16" si="112">AU14*12</f>
        <v>1225096.4634839999</v>
      </c>
      <c r="AW14" s="63">
        <v>1</v>
      </c>
      <c r="AX14" s="62">
        <f t="shared" ref="AX14:AX16" si="113">$C14*AW14</f>
        <v>102091.371957</v>
      </c>
      <c r="AY14" s="64">
        <f t="shared" ref="AY14:AY16" si="114">AX14*12</f>
        <v>1225096.4634839999</v>
      </c>
      <c r="AZ14" s="63">
        <v>1</v>
      </c>
      <c r="BA14" s="62">
        <f t="shared" ref="BA14:BA16" si="115">$C14*AZ14</f>
        <v>102091.371957</v>
      </c>
      <c r="BB14" s="64">
        <f t="shared" ref="BB14:BB16" si="116">BA14*12</f>
        <v>1225096.4634839999</v>
      </c>
      <c r="BC14" s="63">
        <v>1</v>
      </c>
      <c r="BD14" s="62">
        <f t="shared" ref="BD14:BD16" si="117">$C14*BC14</f>
        <v>102091.371957</v>
      </c>
      <c r="BE14" s="64">
        <f t="shared" ref="BE14:BE16" si="118">BD14*12</f>
        <v>1225096.4634839999</v>
      </c>
      <c r="BF14" s="63">
        <v>1</v>
      </c>
      <c r="BG14" s="62">
        <f t="shared" ref="BG14:BG16" si="119">$C14*BF14</f>
        <v>102091.371957</v>
      </c>
      <c r="BH14" s="64">
        <f t="shared" ref="BH14:BH16" si="120">BG14*12</f>
        <v>1225096.4634839999</v>
      </c>
      <c r="BI14" s="63">
        <v>1</v>
      </c>
      <c r="BJ14" s="62">
        <f t="shared" ref="BJ14:BJ16" si="121">$C14*BI14</f>
        <v>102091.371957</v>
      </c>
      <c r="BK14" s="64">
        <f t="shared" ref="BK14:BK16" si="122">BJ14*12</f>
        <v>1225096.4634839999</v>
      </c>
      <c r="BL14" s="63">
        <v>1</v>
      </c>
      <c r="BM14" s="62">
        <f t="shared" ref="BM14:BM16" si="123">$C14*BL14</f>
        <v>102091.371957</v>
      </c>
      <c r="BN14" s="64">
        <f t="shared" ref="BN14:BN16" si="124">BM14*12</f>
        <v>1225096.4634839999</v>
      </c>
      <c r="BO14" s="63">
        <v>1</v>
      </c>
      <c r="BP14" s="62">
        <f t="shared" ref="BP14:BP16" si="125">$C14*BO14</f>
        <v>102091.371957</v>
      </c>
      <c r="BQ14" s="64">
        <f t="shared" ref="BQ14:BQ16" si="126">BP14*12</f>
        <v>1225096.4634839999</v>
      </c>
      <c r="BR14" s="63">
        <v>1</v>
      </c>
      <c r="BS14" s="62">
        <f t="shared" ref="BS14:BS16" si="127">$C14*BR14</f>
        <v>102091.371957</v>
      </c>
      <c r="BT14" s="64">
        <f t="shared" ref="BT14:BT16" si="128">BS14*12</f>
        <v>1225096.4634839999</v>
      </c>
      <c r="BU14" s="63">
        <v>1</v>
      </c>
      <c r="BV14" s="62">
        <f t="shared" ref="BV14:BV16" si="129">$C14*BU14</f>
        <v>102091.371957</v>
      </c>
      <c r="BW14" s="64">
        <f t="shared" ref="BW14:BW16" si="130">BV14*12</f>
        <v>1225096.4634839999</v>
      </c>
      <c r="BX14" s="63">
        <v>1</v>
      </c>
      <c r="BY14" s="62">
        <f t="shared" ref="BY14:BY16" si="131">$C14*BX14</f>
        <v>102091.371957</v>
      </c>
      <c r="BZ14" s="64">
        <f t="shared" si="69"/>
        <v>1225096.4634839999</v>
      </c>
      <c r="CA14" s="67">
        <f t="shared" si="70"/>
        <v>28789766.891874008</v>
      </c>
      <c r="CB14" s="7"/>
    </row>
    <row r="15" spans="1:80" ht="12.75" customHeight="1" x14ac:dyDescent="0.35">
      <c r="A15" s="790" t="s">
        <v>103</v>
      </c>
      <c r="B15" s="61">
        <v>7441.38</v>
      </c>
      <c r="C15" s="62">
        <f t="shared" si="0"/>
        <v>13763.728745999999</v>
      </c>
      <c r="D15" s="63">
        <v>1</v>
      </c>
      <c r="E15" s="62">
        <f t="shared" si="82"/>
        <v>13763.728745999999</v>
      </c>
      <c r="F15" s="64">
        <f t="shared" si="1"/>
        <v>0</v>
      </c>
      <c r="G15" s="63">
        <f t="shared" si="83"/>
        <v>1</v>
      </c>
      <c r="H15" s="62">
        <f t="shared" si="84"/>
        <v>13763.728745999999</v>
      </c>
      <c r="I15" s="64">
        <f t="shared" si="73"/>
        <v>82582.37247599999</v>
      </c>
      <c r="J15" s="63">
        <f t="shared" si="85"/>
        <v>1</v>
      </c>
      <c r="K15" s="62">
        <f t="shared" si="86"/>
        <v>13763.728745999999</v>
      </c>
      <c r="L15" s="64">
        <f t="shared" si="87"/>
        <v>165164.74495199998</v>
      </c>
      <c r="M15" s="63">
        <f t="shared" si="88"/>
        <v>1</v>
      </c>
      <c r="N15" s="62">
        <f t="shared" si="89"/>
        <v>13763.728745999999</v>
      </c>
      <c r="O15" s="64">
        <f t="shared" si="90"/>
        <v>165164.74495199998</v>
      </c>
      <c r="P15" s="63">
        <v>1</v>
      </c>
      <c r="Q15" s="62">
        <f t="shared" si="91"/>
        <v>13763.728745999999</v>
      </c>
      <c r="R15" s="64">
        <f t="shared" si="92"/>
        <v>165164.74495199998</v>
      </c>
      <c r="S15" s="63">
        <v>1</v>
      </c>
      <c r="T15" s="62">
        <f t="shared" si="93"/>
        <v>13763.728745999999</v>
      </c>
      <c r="U15" s="64">
        <f t="shared" si="94"/>
        <v>165164.74495199998</v>
      </c>
      <c r="V15" s="63">
        <v>1</v>
      </c>
      <c r="W15" s="62">
        <f t="shared" si="95"/>
        <v>13763.728745999999</v>
      </c>
      <c r="X15" s="64">
        <f t="shared" si="96"/>
        <v>165164.74495199998</v>
      </c>
      <c r="Y15" s="63">
        <v>1</v>
      </c>
      <c r="Z15" s="62">
        <f t="shared" si="97"/>
        <v>13763.728745999999</v>
      </c>
      <c r="AA15" s="64">
        <f t="shared" si="98"/>
        <v>165164.74495199998</v>
      </c>
      <c r="AB15" s="63">
        <v>1</v>
      </c>
      <c r="AC15" s="62">
        <f t="shared" si="99"/>
        <v>13763.728745999999</v>
      </c>
      <c r="AD15" s="64">
        <f t="shared" si="100"/>
        <v>165164.74495199998</v>
      </c>
      <c r="AE15" s="63">
        <v>1</v>
      </c>
      <c r="AF15" s="62">
        <f t="shared" si="101"/>
        <v>13763.728745999999</v>
      </c>
      <c r="AG15" s="64">
        <f t="shared" si="102"/>
        <v>165164.74495199998</v>
      </c>
      <c r="AH15" s="63">
        <v>1</v>
      </c>
      <c r="AI15" s="62">
        <f t="shared" si="103"/>
        <v>13763.728745999999</v>
      </c>
      <c r="AJ15" s="64">
        <f t="shared" si="104"/>
        <v>165164.74495199998</v>
      </c>
      <c r="AK15" s="63">
        <v>1</v>
      </c>
      <c r="AL15" s="62">
        <f t="shared" si="105"/>
        <v>13763.728745999999</v>
      </c>
      <c r="AM15" s="64">
        <f t="shared" si="106"/>
        <v>165164.74495199998</v>
      </c>
      <c r="AN15" s="63">
        <v>1</v>
      </c>
      <c r="AO15" s="62">
        <f t="shared" si="107"/>
        <v>13763.728745999999</v>
      </c>
      <c r="AP15" s="64">
        <f t="shared" si="108"/>
        <v>165164.74495199998</v>
      </c>
      <c r="AQ15" s="63">
        <v>1</v>
      </c>
      <c r="AR15" s="62">
        <f t="shared" si="109"/>
        <v>13763.728745999999</v>
      </c>
      <c r="AS15" s="64">
        <f t="shared" si="110"/>
        <v>165164.74495199998</v>
      </c>
      <c r="AT15" s="63">
        <v>1</v>
      </c>
      <c r="AU15" s="62">
        <f t="shared" si="111"/>
        <v>13763.728745999999</v>
      </c>
      <c r="AV15" s="64">
        <f t="shared" si="112"/>
        <v>165164.74495199998</v>
      </c>
      <c r="AW15" s="63">
        <v>1</v>
      </c>
      <c r="AX15" s="62">
        <f t="shared" si="113"/>
        <v>13763.728745999999</v>
      </c>
      <c r="AY15" s="64">
        <f t="shared" si="114"/>
        <v>165164.74495199998</v>
      </c>
      <c r="AZ15" s="63">
        <v>1</v>
      </c>
      <c r="BA15" s="62">
        <f t="shared" si="115"/>
        <v>13763.728745999999</v>
      </c>
      <c r="BB15" s="64">
        <f t="shared" si="116"/>
        <v>165164.74495199998</v>
      </c>
      <c r="BC15" s="63">
        <v>1</v>
      </c>
      <c r="BD15" s="62">
        <f t="shared" si="117"/>
        <v>13763.728745999999</v>
      </c>
      <c r="BE15" s="64">
        <f t="shared" si="118"/>
        <v>165164.74495199998</v>
      </c>
      <c r="BF15" s="63">
        <v>1</v>
      </c>
      <c r="BG15" s="62">
        <f t="shared" si="119"/>
        <v>13763.728745999999</v>
      </c>
      <c r="BH15" s="64">
        <f t="shared" si="120"/>
        <v>165164.74495199998</v>
      </c>
      <c r="BI15" s="63">
        <v>1</v>
      </c>
      <c r="BJ15" s="62">
        <f t="shared" si="121"/>
        <v>13763.728745999999</v>
      </c>
      <c r="BK15" s="64">
        <f t="shared" si="122"/>
        <v>165164.74495199998</v>
      </c>
      <c r="BL15" s="63">
        <v>1</v>
      </c>
      <c r="BM15" s="62">
        <f t="shared" si="123"/>
        <v>13763.728745999999</v>
      </c>
      <c r="BN15" s="64">
        <f t="shared" si="124"/>
        <v>165164.74495199998</v>
      </c>
      <c r="BO15" s="63">
        <v>1</v>
      </c>
      <c r="BP15" s="62">
        <f t="shared" si="125"/>
        <v>13763.728745999999</v>
      </c>
      <c r="BQ15" s="64">
        <f t="shared" si="126"/>
        <v>165164.74495199998</v>
      </c>
      <c r="BR15" s="63">
        <v>1</v>
      </c>
      <c r="BS15" s="62">
        <f t="shared" si="127"/>
        <v>13763.728745999999</v>
      </c>
      <c r="BT15" s="64">
        <f t="shared" si="128"/>
        <v>165164.74495199998</v>
      </c>
      <c r="BU15" s="63">
        <v>1</v>
      </c>
      <c r="BV15" s="62">
        <f t="shared" si="129"/>
        <v>13763.728745999999</v>
      </c>
      <c r="BW15" s="64">
        <f t="shared" si="130"/>
        <v>165164.74495199998</v>
      </c>
      <c r="BX15" s="63">
        <v>1</v>
      </c>
      <c r="BY15" s="62">
        <f t="shared" si="131"/>
        <v>13763.728745999999</v>
      </c>
      <c r="BZ15" s="64">
        <f t="shared" si="69"/>
        <v>165164.74495199998</v>
      </c>
      <c r="CA15" s="67">
        <f t="shared" si="70"/>
        <v>3881371.5063719973</v>
      </c>
      <c r="CB15" s="7"/>
    </row>
    <row r="16" spans="1:80" ht="12.75" customHeight="1" x14ac:dyDescent="0.35">
      <c r="A16" s="790" t="s">
        <v>104</v>
      </c>
      <c r="B16" s="61">
        <v>5284</v>
      </c>
      <c r="C16" s="62">
        <f t="shared" si="0"/>
        <v>10135.6628</v>
      </c>
      <c r="D16" s="63">
        <v>2</v>
      </c>
      <c r="E16" s="62">
        <f>$C16*D16</f>
        <v>20271.3256</v>
      </c>
      <c r="F16" s="64">
        <f t="shared" si="1"/>
        <v>0</v>
      </c>
      <c r="G16" s="63">
        <f t="shared" si="83"/>
        <v>2</v>
      </c>
      <c r="H16" s="62">
        <f>$C16*G16</f>
        <v>20271.3256</v>
      </c>
      <c r="I16" s="64">
        <f t="shared" si="73"/>
        <v>121627.95360000001</v>
      </c>
      <c r="J16" s="63">
        <f t="shared" si="85"/>
        <v>2</v>
      </c>
      <c r="K16" s="62">
        <f t="shared" si="86"/>
        <v>20271.3256</v>
      </c>
      <c r="L16" s="64">
        <f t="shared" si="87"/>
        <v>243255.90720000002</v>
      </c>
      <c r="M16" s="63">
        <f t="shared" si="88"/>
        <v>2</v>
      </c>
      <c r="N16" s="62">
        <f t="shared" si="89"/>
        <v>20271.3256</v>
      </c>
      <c r="O16" s="64">
        <f t="shared" si="90"/>
        <v>243255.90720000002</v>
      </c>
      <c r="P16" s="63">
        <v>2</v>
      </c>
      <c r="Q16" s="62">
        <f t="shared" si="91"/>
        <v>20271.3256</v>
      </c>
      <c r="R16" s="64">
        <f t="shared" si="92"/>
        <v>243255.90720000002</v>
      </c>
      <c r="S16" s="63">
        <v>2</v>
      </c>
      <c r="T16" s="62">
        <f t="shared" si="93"/>
        <v>20271.3256</v>
      </c>
      <c r="U16" s="64">
        <f t="shared" si="94"/>
        <v>243255.90720000002</v>
      </c>
      <c r="V16" s="63">
        <v>2</v>
      </c>
      <c r="W16" s="62">
        <f t="shared" si="95"/>
        <v>20271.3256</v>
      </c>
      <c r="X16" s="64">
        <f t="shared" si="96"/>
        <v>243255.90720000002</v>
      </c>
      <c r="Y16" s="63">
        <v>2</v>
      </c>
      <c r="Z16" s="62">
        <f t="shared" si="97"/>
        <v>20271.3256</v>
      </c>
      <c r="AA16" s="64">
        <f t="shared" si="98"/>
        <v>243255.90720000002</v>
      </c>
      <c r="AB16" s="63">
        <v>2</v>
      </c>
      <c r="AC16" s="62">
        <f t="shared" si="99"/>
        <v>20271.3256</v>
      </c>
      <c r="AD16" s="64">
        <f t="shared" si="100"/>
        <v>243255.90720000002</v>
      </c>
      <c r="AE16" s="63">
        <v>2</v>
      </c>
      <c r="AF16" s="62">
        <f t="shared" si="101"/>
        <v>20271.3256</v>
      </c>
      <c r="AG16" s="64">
        <f t="shared" si="102"/>
        <v>243255.90720000002</v>
      </c>
      <c r="AH16" s="63">
        <v>2</v>
      </c>
      <c r="AI16" s="62">
        <f t="shared" si="103"/>
        <v>20271.3256</v>
      </c>
      <c r="AJ16" s="64">
        <f t="shared" si="104"/>
        <v>243255.90720000002</v>
      </c>
      <c r="AK16" s="63">
        <v>2</v>
      </c>
      <c r="AL16" s="62">
        <f t="shared" si="105"/>
        <v>20271.3256</v>
      </c>
      <c r="AM16" s="64">
        <f t="shared" si="106"/>
        <v>243255.90720000002</v>
      </c>
      <c r="AN16" s="63">
        <v>2</v>
      </c>
      <c r="AO16" s="62">
        <f t="shared" si="107"/>
        <v>20271.3256</v>
      </c>
      <c r="AP16" s="64">
        <f t="shared" si="108"/>
        <v>243255.90720000002</v>
      </c>
      <c r="AQ16" s="63">
        <v>2</v>
      </c>
      <c r="AR16" s="62">
        <f t="shared" si="109"/>
        <v>20271.3256</v>
      </c>
      <c r="AS16" s="64">
        <f t="shared" si="110"/>
        <v>243255.90720000002</v>
      </c>
      <c r="AT16" s="63">
        <v>2</v>
      </c>
      <c r="AU16" s="62">
        <f t="shared" si="111"/>
        <v>20271.3256</v>
      </c>
      <c r="AV16" s="64">
        <f t="shared" si="112"/>
        <v>243255.90720000002</v>
      </c>
      <c r="AW16" s="63">
        <v>2</v>
      </c>
      <c r="AX16" s="62">
        <f t="shared" si="113"/>
        <v>20271.3256</v>
      </c>
      <c r="AY16" s="64">
        <f t="shared" si="114"/>
        <v>243255.90720000002</v>
      </c>
      <c r="AZ16" s="63">
        <v>2</v>
      </c>
      <c r="BA16" s="62">
        <f t="shared" si="115"/>
        <v>20271.3256</v>
      </c>
      <c r="BB16" s="64">
        <f t="shared" si="116"/>
        <v>243255.90720000002</v>
      </c>
      <c r="BC16" s="63">
        <v>2</v>
      </c>
      <c r="BD16" s="62">
        <f t="shared" si="117"/>
        <v>20271.3256</v>
      </c>
      <c r="BE16" s="64">
        <f t="shared" si="118"/>
        <v>243255.90720000002</v>
      </c>
      <c r="BF16" s="63">
        <v>2</v>
      </c>
      <c r="BG16" s="62">
        <f t="shared" si="119"/>
        <v>20271.3256</v>
      </c>
      <c r="BH16" s="64">
        <f t="shared" si="120"/>
        <v>243255.90720000002</v>
      </c>
      <c r="BI16" s="63">
        <v>2</v>
      </c>
      <c r="BJ16" s="62">
        <f t="shared" si="121"/>
        <v>20271.3256</v>
      </c>
      <c r="BK16" s="64">
        <f t="shared" si="122"/>
        <v>243255.90720000002</v>
      </c>
      <c r="BL16" s="63">
        <v>2</v>
      </c>
      <c r="BM16" s="62">
        <f t="shared" si="123"/>
        <v>20271.3256</v>
      </c>
      <c r="BN16" s="64">
        <f t="shared" si="124"/>
        <v>243255.90720000002</v>
      </c>
      <c r="BO16" s="63">
        <v>2</v>
      </c>
      <c r="BP16" s="62">
        <f t="shared" si="125"/>
        <v>20271.3256</v>
      </c>
      <c r="BQ16" s="64">
        <f t="shared" si="126"/>
        <v>243255.90720000002</v>
      </c>
      <c r="BR16" s="63">
        <v>2</v>
      </c>
      <c r="BS16" s="62">
        <f t="shared" si="127"/>
        <v>20271.3256</v>
      </c>
      <c r="BT16" s="64">
        <f t="shared" si="128"/>
        <v>243255.90720000002</v>
      </c>
      <c r="BU16" s="63">
        <v>2</v>
      </c>
      <c r="BV16" s="62">
        <f t="shared" si="129"/>
        <v>20271.3256</v>
      </c>
      <c r="BW16" s="64">
        <f t="shared" si="130"/>
        <v>243255.90720000002</v>
      </c>
      <c r="BX16" s="63">
        <v>2</v>
      </c>
      <c r="BY16" s="62">
        <f t="shared" si="131"/>
        <v>20271.3256</v>
      </c>
      <c r="BZ16" s="64">
        <f t="shared" si="69"/>
        <v>243255.90720000002</v>
      </c>
      <c r="CA16" s="67">
        <f t="shared" si="70"/>
        <v>5716513.8192000035</v>
      </c>
      <c r="CB16" s="7"/>
    </row>
    <row r="17" spans="1:80" ht="12.75" customHeight="1" x14ac:dyDescent="0.35">
      <c r="A17" s="790" t="s">
        <v>105</v>
      </c>
      <c r="B17" s="61">
        <v>4729.6499999999996</v>
      </c>
      <c r="C17" s="62">
        <f t="shared" si="0"/>
        <v>9203.4124049999991</v>
      </c>
      <c r="D17" s="63">
        <v>1</v>
      </c>
      <c r="E17" s="62">
        <f t="shared" si="80"/>
        <v>9203.4124049999991</v>
      </c>
      <c r="F17" s="64">
        <f t="shared" si="1"/>
        <v>0</v>
      </c>
      <c r="G17" s="63">
        <f t="shared" si="2"/>
        <v>1</v>
      </c>
      <c r="H17" s="62">
        <f t="shared" si="3"/>
        <v>9203.4124049999991</v>
      </c>
      <c r="I17" s="64">
        <f t="shared" ref="I17:I21" si="132">H17*6</f>
        <v>55220.474429999995</v>
      </c>
      <c r="J17" s="63">
        <f t="shared" si="4"/>
        <v>1</v>
      </c>
      <c r="K17" s="62">
        <f t="shared" si="5"/>
        <v>9203.4124049999991</v>
      </c>
      <c r="L17" s="64">
        <f t="shared" si="6"/>
        <v>110440.94885999999</v>
      </c>
      <c r="M17" s="63">
        <f t="shared" si="7"/>
        <v>1</v>
      </c>
      <c r="N17" s="62">
        <f t="shared" ref="N17:N25" si="133">$C17*M17</f>
        <v>9203.4124049999991</v>
      </c>
      <c r="O17" s="64">
        <f t="shared" ref="O17:O25" si="134">N17*12</f>
        <v>110440.94885999999</v>
      </c>
      <c r="P17" s="63">
        <v>1</v>
      </c>
      <c r="Q17" s="62">
        <f t="shared" ref="Q17:Q25" si="135">$C17*P17</f>
        <v>9203.4124049999991</v>
      </c>
      <c r="R17" s="64">
        <f t="shared" ref="R17:R25" si="136">Q17*12</f>
        <v>110440.94885999999</v>
      </c>
      <c r="S17" s="63">
        <v>1</v>
      </c>
      <c r="T17" s="62">
        <f t="shared" ref="T17:T25" si="137">$C17*S17</f>
        <v>9203.4124049999991</v>
      </c>
      <c r="U17" s="64">
        <f t="shared" ref="U17:U25" si="138">T17*12</f>
        <v>110440.94885999999</v>
      </c>
      <c r="V17" s="63">
        <v>1</v>
      </c>
      <c r="W17" s="62">
        <f t="shared" si="16"/>
        <v>9203.4124049999991</v>
      </c>
      <c r="X17" s="64">
        <f t="shared" si="17"/>
        <v>110440.94885999999</v>
      </c>
      <c r="Y17" s="63">
        <f t="shared" si="18"/>
        <v>1</v>
      </c>
      <c r="Z17" s="62">
        <f t="shared" si="19"/>
        <v>9203.4124049999991</v>
      </c>
      <c r="AA17" s="64">
        <f t="shared" si="20"/>
        <v>110440.94885999999</v>
      </c>
      <c r="AB17" s="63">
        <f t="shared" si="21"/>
        <v>1</v>
      </c>
      <c r="AC17" s="62">
        <f t="shared" si="22"/>
        <v>9203.4124049999991</v>
      </c>
      <c r="AD17" s="64">
        <f t="shared" si="23"/>
        <v>110440.94885999999</v>
      </c>
      <c r="AE17" s="63">
        <f t="shared" si="24"/>
        <v>1</v>
      </c>
      <c r="AF17" s="62">
        <f t="shared" si="25"/>
        <v>9203.4124049999991</v>
      </c>
      <c r="AG17" s="64">
        <f t="shared" si="26"/>
        <v>110440.94885999999</v>
      </c>
      <c r="AH17" s="63">
        <f>'Memoria-equipamentoXfuncionario'!H50</f>
        <v>1</v>
      </c>
      <c r="AI17" s="62">
        <f t="shared" si="27"/>
        <v>9203.4124049999991</v>
      </c>
      <c r="AJ17" s="64">
        <f t="shared" si="28"/>
        <v>110440.94885999999</v>
      </c>
      <c r="AK17" s="63">
        <f t="shared" si="29"/>
        <v>1</v>
      </c>
      <c r="AL17" s="62">
        <f t="shared" si="30"/>
        <v>9203.4124049999991</v>
      </c>
      <c r="AM17" s="64">
        <f t="shared" si="31"/>
        <v>110440.94885999999</v>
      </c>
      <c r="AN17" s="63">
        <f t="shared" si="32"/>
        <v>1</v>
      </c>
      <c r="AO17" s="62">
        <f t="shared" si="33"/>
        <v>9203.4124049999991</v>
      </c>
      <c r="AP17" s="64">
        <f t="shared" si="34"/>
        <v>110440.94885999999</v>
      </c>
      <c r="AQ17" s="63">
        <f t="shared" si="35"/>
        <v>1</v>
      </c>
      <c r="AR17" s="62">
        <f t="shared" si="36"/>
        <v>9203.4124049999991</v>
      </c>
      <c r="AS17" s="64">
        <f t="shared" si="37"/>
        <v>110440.94885999999</v>
      </c>
      <c r="AT17" s="63">
        <f t="shared" si="38"/>
        <v>1</v>
      </c>
      <c r="AU17" s="62">
        <f t="shared" si="39"/>
        <v>9203.4124049999991</v>
      </c>
      <c r="AV17" s="64">
        <f t="shared" si="40"/>
        <v>110440.94885999999</v>
      </c>
      <c r="AW17" s="63">
        <f>'Memoria-equipamentoXfuncionario'!J50</f>
        <v>1</v>
      </c>
      <c r="AX17" s="62">
        <f t="shared" si="41"/>
        <v>9203.4124049999991</v>
      </c>
      <c r="AY17" s="64">
        <f t="shared" si="42"/>
        <v>110440.94885999999</v>
      </c>
      <c r="AZ17" s="63">
        <f t="shared" si="43"/>
        <v>1</v>
      </c>
      <c r="BA17" s="62">
        <f t="shared" si="44"/>
        <v>9203.4124049999991</v>
      </c>
      <c r="BB17" s="64">
        <f t="shared" si="45"/>
        <v>110440.94885999999</v>
      </c>
      <c r="BC17" s="63">
        <f t="shared" si="46"/>
        <v>1</v>
      </c>
      <c r="BD17" s="62">
        <f t="shared" si="47"/>
        <v>9203.4124049999991</v>
      </c>
      <c r="BE17" s="64">
        <f t="shared" si="48"/>
        <v>110440.94885999999</v>
      </c>
      <c r="BF17" s="63">
        <f t="shared" si="49"/>
        <v>1</v>
      </c>
      <c r="BG17" s="62">
        <f t="shared" si="50"/>
        <v>9203.4124049999991</v>
      </c>
      <c r="BH17" s="64">
        <f t="shared" si="51"/>
        <v>110440.94885999999</v>
      </c>
      <c r="BI17" s="63">
        <f t="shared" si="52"/>
        <v>1</v>
      </c>
      <c r="BJ17" s="62">
        <f t="shared" si="53"/>
        <v>9203.4124049999991</v>
      </c>
      <c r="BK17" s="64">
        <f t="shared" si="54"/>
        <v>110440.94885999999</v>
      </c>
      <c r="BL17" s="63">
        <f t="shared" si="55"/>
        <v>1</v>
      </c>
      <c r="BM17" s="62">
        <f t="shared" si="56"/>
        <v>9203.4124049999991</v>
      </c>
      <c r="BN17" s="64">
        <f t="shared" si="57"/>
        <v>110440.94885999999</v>
      </c>
      <c r="BO17" s="63">
        <f t="shared" si="58"/>
        <v>1</v>
      </c>
      <c r="BP17" s="62">
        <f t="shared" si="59"/>
        <v>9203.4124049999991</v>
      </c>
      <c r="BQ17" s="64">
        <f t="shared" si="60"/>
        <v>110440.94885999999</v>
      </c>
      <c r="BR17" s="63">
        <f t="shared" si="61"/>
        <v>1</v>
      </c>
      <c r="BS17" s="62">
        <f t="shared" si="62"/>
        <v>9203.4124049999991</v>
      </c>
      <c r="BT17" s="64">
        <f t="shared" si="63"/>
        <v>110440.94885999999</v>
      </c>
      <c r="BU17" s="63">
        <f t="shared" si="64"/>
        <v>1</v>
      </c>
      <c r="BV17" s="62">
        <f t="shared" si="65"/>
        <v>9203.4124049999991</v>
      </c>
      <c r="BW17" s="64">
        <f t="shared" si="66"/>
        <v>110440.94885999999</v>
      </c>
      <c r="BX17" s="63">
        <f t="shared" si="67"/>
        <v>1</v>
      </c>
      <c r="BY17" s="62">
        <f t="shared" si="68"/>
        <v>9203.4124049999991</v>
      </c>
      <c r="BZ17" s="65">
        <f t="shared" si="69"/>
        <v>110440.94885999999</v>
      </c>
      <c r="CA17" s="67">
        <f t="shared" si="70"/>
        <v>2595362.2982099983</v>
      </c>
      <c r="CB17" s="7"/>
    </row>
    <row r="18" spans="1:80" ht="12.75" customHeight="1" x14ac:dyDescent="0.35">
      <c r="A18" s="790" t="s">
        <v>106</v>
      </c>
      <c r="B18" s="61">
        <v>2250.27</v>
      </c>
      <c r="C18" s="62">
        <f t="shared" si="0"/>
        <v>5033.8390589999999</v>
      </c>
      <c r="D18" s="63">
        <v>4</v>
      </c>
      <c r="E18" s="62">
        <f>$C18*D18</f>
        <v>20135.356236</v>
      </c>
      <c r="F18" s="64">
        <f t="shared" si="1"/>
        <v>0</v>
      </c>
      <c r="G18" s="63">
        <f t="shared" si="2"/>
        <v>4</v>
      </c>
      <c r="H18" s="62">
        <f>$C18*G18</f>
        <v>20135.356236</v>
      </c>
      <c r="I18" s="64">
        <f t="shared" si="132"/>
        <v>120812.137416</v>
      </c>
      <c r="J18" s="63">
        <f t="shared" si="4"/>
        <v>4</v>
      </c>
      <c r="K18" s="62">
        <f t="shared" si="5"/>
        <v>20135.356236</v>
      </c>
      <c r="L18" s="64">
        <f t="shared" si="6"/>
        <v>241624.274832</v>
      </c>
      <c r="M18" s="63">
        <f t="shared" si="7"/>
        <v>4</v>
      </c>
      <c r="N18" s="62">
        <f t="shared" si="133"/>
        <v>20135.356236</v>
      </c>
      <c r="O18" s="64">
        <f t="shared" si="134"/>
        <v>241624.274832</v>
      </c>
      <c r="P18" s="63">
        <f t="shared" si="10"/>
        <v>4</v>
      </c>
      <c r="Q18" s="62">
        <f t="shared" si="135"/>
        <v>20135.356236</v>
      </c>
      <c r="R18" s="64">
        <f t="shared" si="136"/>
        <v>241624.274832</v>
      </c>
      <c r="S18" s="63">
        <f t="shared" ref="S18:S21" si="139">P18</f>
        <v>4</v>
      </c>
      <c r="T18" s="62">
        <f t="shared" si="137"/>
        <v>20135.356236</v>
      </c>
      <c r="U18" s="64">
        <f t="shared" si="138"/>
        <v>241624.274832</v>
      </c>
      <c r="V18" s="63">
        <f t="shared" si="15"/>
        <v>4</v>
      </c>
      <c r="W18" s="62">
        <f t="shared" si="16"/>
        <v>20135.356236</v>
      </c>
      <c r="X18" s="64">
        <f t="shared" si="17"/>
        <v>241624.274832</v>
      </c>
      <c r="Y18" s="63">
        <f t="shared" si="18"/>
        <v>4</v>
      </c>
      <c r="Z18" s="62">
        <f t="shared" si="19"/>
        <v>20135.356236</v>
      </c>
      <c r="AA18" s="64">
        <f t="shared" si="20"/>
        <v>241624.274832</v>
      </c>
      <c r="AB18" s="63">
        <f t="shared" si="21"/>
        <v>4</v>
      </c>
      <c r="AC18" s="62">
        <f t="shared" si="22"/>
        <v>20135.356236</v>
      </c>
      <c r="AD18" s="64">
        <f t="shared" si="23"/>
        <v>241624.274832</v>
      </c>
      <c r="AE18" s="63">
        <f t="shared" si="24"/>
        <v>4</v>
      </c>
      <c r="AF18" s="62">
        <f t="shared" si="25"/>
        <v>20135.356236</v>
      </c>
      <c r="AG18" s="64">
        <f t="shared" si="26"/>
        <v>241624.274832</v>
      </c>
      <c r="AH18" s="63">
        <f>'Memoria-equipamentoXfuncionario'!H51</f>
        <v>4</v>
      </c>
      <c r="AI18" s="62">
        <f t="shared" si="27"/>
        <v>20135.356236</v>
      </c>
      <c r="AJ18" s="64">
        <f t="shared" si="28"/>
        <v>241624.274832</v>
      </c>
      <c r="AK18" s="63">
        <f t="shared" si="29"/>
        <v>4</v>
      </c>
      <c r="AL18" s="62">
        <f t="shared" si="30"/>
        <v>20135.356236</v>
      </c>
      <c r="AM18" s="64">
        <f t="shared" si="31"/>
        <v>241624.274832</v>
      </c>
      <c r="AN18" s="63">
        <f t="shared" si="32"/>
        <v>4</v>
      </c>
      <c r="AO18" s="62">
        <f t="shared" si="33"/>
        <v>20135.356236</v>
      </c>
      <c r="AP18" s="64">
        <f t="shared" si="34"/>
        <v>241624.274832</v>
      </c>
      <c r="AQ18" s="63">
        <f t="shared" si="35"/>
        <v>4</v>
      </c>
      <c r="AR18" s="62">
        <f t="shared" si="36"/>
        <v>20135.356236</v>
      </c>
      <c r="AS18" s="64">
        <f t="shared" si="37"/>
        <v>241624.274832</v>
      </c>
      <c r="AT18" s="63">
        <f t="shared" si="38"/>
        <v>4</v>
      </c>
      <c r="AU18" s="62">
        <f t="shared" si="39"/>
        <v>20135.356236</v>
      </c>
      <c r="AV18" s="64">
        <f t="shared" si="40"/>
        <v>241624.274832</v>
      </c>
      <c r="AW18" s="63">
        <f>'Memoria-equipamentoXfuncionario'!J51</f>
        <v>4</v>
      </c>
      <c r="AX18" s="62">
        <f t="shared" si="41"/>
        <v>20135.356236</v>
      </c>
      <c r="AY18" s="64">
        <f t="shared" si="42"/>
        <v>241624.274832</v>
      </c>
      <c r="AZ18" s="63">
        <f t="shared" si="43"/>
        <v>4</v>
      </c>
      <c r="BA18" s="62">
        <f t="shared" si="44"/>
        <v>20135.356236</v>
      </c>
      <c r="BB18" s="64">
        <f t="shared" si="45"/>
        <v>241624.274832</v>
      </c>
      <c r="BC18" s="63">
        <f t="shared" si="46"/>
        <v>4</v>
      </c>
      <c r="BD18" s="62">
        <f t="shared" si="47"/>
        <v>20135.356236</v>
      </c>
      <c r="BE18" s="64">
        <f t="shared" si="48"/>
        <v>241624.274832</v>
      </c>
      <c r="BF18" s="63">
        <f t="shared" si="49"/>
        <v>4</v>
      </c>
      <c r="BG18" s="62">
        <f t="shared" si="50"/>
        <v>20135.356236</v>
      </c>
      <c r="BH18" s="64">
        <f t="shared" si="51"/>
        <v>241624.274832</v>
      </c>
      <c r="BI18" s="63">
        <f t="shared" si="52"/>
        <v>4</v>
      </c>
      <c r="BJ18" s="62">
        <f t="shared" si="53"/>
        <v>20135.356236</v>
      </c>
      <c r="BK18" s="64">
        <f t="shared" si="54"/>
        <v>241624.274832</v>
      </c>
      <c r="BL18" s="63">
        <f t="shared" si="55"/>
        <v>4</v>
      </c>
      <c r="BM18" s="62">
        <f t="shared" si="56"/>
        <v>20135.356236</v>
      </c>
      <c r="BN18" s="64">
        <f t="shared" si="57"/>
        <v>241624.274832</v>
      </c>
      <c r="BO18" s="63">
        <f t="shared" si="58"/>
        <v>4</v>
      </c>
      <c r="BP18" s="62">
        <f t="shared" si="59"/>
        <v>20135.356236</v>
      </c>
      <c r="BQ18" s="64">
        <f t="shared" si="60"/>
        <v>241624.274832</v>
      </c>
      <c r="BR18" s="63">
        <f t="shared" si="61"/>
        <v>4</v>
      </c>
      <c r="BS18" s="62">
        <f t="shared" si="62"/>
        <v>20135.356236</v>
      </c>
      <c r="BT18" s="64">
        <f t="shared" si="63"/>
        <v>241624.274832</v>
      </c>
      <c r="BU18" s="63">
        <f t="shared" si="64"/>
        <v>4</v>
      </c>
      <c r="BV18" s="62">
        <f t="shared" si="65"/>
        <v>20135.356236</v>
      </c>
      <c r="BW18" s="64">
        <f t="shared" si="66"/>
        <v>241624.274832</v>
      </c>
      <c r="BX18" s="63">
        <f t="shared" si="67"/>
        <v>4</v>
      </c>
      <c r="BY18" s="62">
        <f t="shared" si="68"/>
        <v>20135.356236</v>
      </c>
      <c r="BZ18" s="65">
        <f t="shared" si="69"/>
        <v>241624.274832</v>
      </c>
      <c r="CA18" s="67">
        <f t="shared" si="70"/>
        <v>5678170.4585520001</v>
      </c>
      <c r="CB18" s="7"/>
    </row>
    <row r="19" spans="1:80" ht="12.75" customHeight="1" x14ac:dyDescent="0.35">
      <c r="A19" s="790" t="s">
        <v>107</v>
      </c>
      <c r="B19" s="61">
        <v>1720.02</v>
      </c>
      <c r="C19" s="62">
        <f t="shared" si="0"/>
        <v>4142.1176340000002</v>
      </c>
      <c r="D19" s="63">
        <v>3</v>
      </c>
      <c r="E19" s="62">
        <f>$C19*D19</f>
        <v>12426.352902000001</v>
      </c>
      <c r="F19" s="64">
        <f t="shared" si="1"/>
        <v>0</v>
      </c>
      <c r="G19" s="63">
        <f t="shared" si="2"/>
        <v>3</v>
      </c>
      <c r="H19" s="62">
        <f>$C19*G19</f>
        <v>12426.352902000001</v>
      </c>
      <c r="I19" s="64">
        <f t="shared" si="132"/>
        <v>74558.117412000007</v>
      </c>
      <c r="J19" s="63">
        <f t="shared" si="4"/>
        <v>3</v>
      </c>
      <c r="K19" s="62">
        <f t="shared" si="5"/>
        <v>12426.352902000001</v>
      </c>
      <c r="L19" s="64">
        <f t="shared" si="6"/>
        <v>149116.23482400001</v>
      </c>
      <c r="M19" s="63">
        <f t="shared" si="7"/>
        <v>3</v>
      </c>
      <c r="N19" s="62">
        <f t="shared" si="133"/>
        <v>12426.352902000001</v>
      </c>
      <c r="O19" s="64">
        <f t="shared" si="134"/>
        <v>149116.23482400001</v>
      </c>
      <c r="P19" s="63">
        <f t="shared" si="10"/>
        <v>3</v>
      </c>
      <c r="Q19" s="62">
        <f t="shared" si="135"/>
        <v>12426.352902000001</v>
      </c>
      <c r="R19" s="64">
        <f t="shared" si="136"/>
        <v>149116.23482400001</v>
      </c>
      <c r="S19" s="63">
        <f t="shared" si="139"/>
        <v>3</v>
      </c>
      <c r="T19" s="62">
        <f t="shared" si="137"/>
        <v>12426.352902000001</v>
      </c>
      <c r="U19" s="64">
        <f t="shared" si="138"/>
        <v>149116.23482400001</v>
      </c>
      <c r="V19" s="63">
        <f t="shared" si="15"/>
        <v>3</v>
      </c>
      <c r="W19" s="62">
        <f t="shared" si="16"/>
        <v>12426.352902000001</v>
      </c>
      <c r="X19" s="64">
        <f t="shared" si="17"/>
        <v>149116.23482400001</v>
      </c>
      <c r="Y19" s="63">
        <f t="shared" si="18"/>
        <v>3</v>
      </c>
      <c r="Z19" s="62">
        <f t="shared" si="19"/>
        <v>12426.352902000001</v>
      </c>
      <c r="AA19" s="64">
        <f t="shared" si="20"/>
        <v>149116.23482400001</v>
      </c>
      <c r="AB19" s="63">
        <f t="shared" si="21"/>
        <v>3</v>
      </c>
      <c r="AC19" s="62">
        <f t="shared" si="22"/>
        <v>12426.352902000001</v>
      </c>
      <c r="AD19" s="64">
        <f t="shared" si="23"/>
        <v>149116.23482400001</v>
      </c>
      <c r="AE19" s="63">
        <f t="shared" si="24"/>
        <v>3</v>
      </c>
      <c r="AF19" s="62">
        <f t="shared" si="25"/>
        <v>12426.352902000001</v>
      </c>
      <c r="AG19" s="64">
        <f t="shared" si="26"/>
        <v>149116.23482400001</v>
      </c>
      <c r="AH19" s="63">
        <f>'Memoria-equipamentoXfuncionario'!H52</f>
        <v>3</v>
      </c>
      <c r="AI19" s="62">
        <f t="shared" si="27"/>
        <v>12426.352902000001</v>
      </c>
      <c r="AJ19" s="64">
        <f t="shared" si="28"/>
        <v>149116.23482400001</v>
      </c>
      <c r="AK19" s="63">
        <f t="shared" si="29"/>
        <v>3</v>
      </c>
      <c r="AL19" s="62">
        <f t="shared" si="30"/>
        <v>12426.352902000001</v>
      </c>
      <c r="AM19" s="64">
        <f t="shared" si="31"/>
        <v>149116.23482400001</v>
      </c>
      <c r="AN19" s="63">
        <f t="shared" si="32"/>
        <v>3</v>
      </c>
      <c r="AO19" s="62">
        <f t="shared" si="33"/>
        <v>12426.352902000001</v>
      </c>
      <c r="AP19" s="64">
        <f t="shared" si="34"/>
        <v>149116.23482400001</v>
      </c>
      <c r="AQ19" s="63">
        <v>4</v>
      </c>
      <c r="AR19" s="62">
        <f t="shared" si="36"/>
        <v>16568.470536000001</v>
      </c>
      <c r="AS19" s="64">
        <f t="shared" si="37"/>
        <v>198821.64643200001</v>
      </c>
      <c r="AT19" s="63">
        <f t="shared" si="38"/>
        <v>4</v>
      </c>
      <c r="AU19" s="62">
        <f t="shared" si="39"/>
        <v>16568.470536000001</v>
      </c>
      <c r="AV19" s="64">
        <f t="shared" si="40"/>
        <v>198821.64643200001</v>
      </c>
      <c r="AW19" s="63">
        <v>4</v>
      </c>
      <c r="AX19" s="62">
        <f t="shared" si="41"/>
        <v>16568.470536000001</v>
      </c>
      <c r="AY19" s="64">
        <f t="shared" si="42"/>
        <v>198821.64643200001</v>
      </c>
      <c r="AZ19" s="63">
        <f t="shared" si="43"/>
        <v>4</v>
      </c>
      <c r="BA19" s="62">
        <f t="shared" si="44"/>
        <v>16568.470536000001</v>
      </c>
      <c r="BB19" s="64">
        <f t="shared" si="45"/>
        <v>198821.64643200001</v>
      </c>
      <c r="BC19" s="63">
        <f t="shared" si="46"/>
        <v>4</v>
      </c>
      <c r="BD19" s="62">
        <f t="shared" si="47"/>
        <v>16568.470536000001</v>
      </c>
      <c r="BE19" s="64">
        <f t="shared" si="48"/>
        <v>198821.64643200001</v>
      </c>
      <c r="BF19" s="63">
        <f t="shared" si="49"/>
        <v>4</v>
      </c>
      <c r="BG19" s="62">
        <f t="shared" si="50"/>
        <v>16568.470536000001</v>
      </c>
      <c r="BH19" s="64">
        <f t="shared" si="51"/>
        <v>198821.64643200001</v>
      </c>
      <c r="BI19" s="63">
        <f t="shared" si="52"/>
        <v>4</v>
      </c>
      <c r="BJ19" s="62">
        <f t="shared" si="53"/>
        <v>16568.470536000001</v>
      </c>
      <c r="BK19" s="64">
        <f t="shared" si="54"/>
        <v>198821.64643200001</v>
      </c>
      <c r="BL19" s="63">
        <f t="shared" si="55"/>
        <v>4</v>
      </c>
      <c r="BM19" s="62">
        <f t="shared" si="56"/>
        <v>16568.470536000001</v>
      </c>
      <c r="BN19" s="64">
        <f t="shared" si="57"/>
        <v>198821.64643200001</v>
      </c>
      <c r="BO19" s="63">
        <f t="shared" si="58"/>
        <v>4</v>
      </c>
      <c r="BP19" s="62">
        <f t="shared" si="59"/>
        <v>16568.470536000001</v>
      </c>
      <c r="BQ19" s="64">
        <f t="shared" si="60"/>
        <v>198821.64643200001</v>
      </c>
      <c r="BR19" s="63">
        <f t="shared" si="61"/>
        <v>4</v>
      </c>
      <c r="BS19" s="62">
        <f t="shared" si="62"/>
        <v>16568.470536000001</v>
      </c>
      <c r="BT19" s="64">
        <f t="shared" si="63"/>
        <v>198821.64643200001</v>
      </c>
      <c r="BU19" s="63">
        <f t="shared" si="64"/>
        <v>4</v>
      </c>
      <c r="BV19" s="62">
        <f t="shared" si="65"/>
        <v>16568.470536000001</v>
      </c>
      <c r="BW19" s="64">
        <f t="shared" si="66"/>
        <v>198821.64643200001</v>
      </c>
      <c r="BX19" s="63">
        <f t="shared" si="67"/>
        <v>4</v>
      </c>
      <c r="BY19" s="62">
        <f t="shared" si="68"/>
        <v>16568.470536000001</v>
      </c>
      <c r="BZ19" s="65">
        <f t="shared" si="69"/>
        <v>198821.64643200001</v>
      </c>
      <c r="CA19" s="67">
        <f t="shared" si="70"/>
        <v>4100696.4576600022</v>
      </c>
      <c r="CB19" s="7"/>
    </row>
    <row r="20" spans="1:80" ht="12.75" customHeight="1" x14ac:dyDescent="0.35">
      <c r="A20" s="790" t="s">
        <v>108</v>
      </c>
      <c r="B20" s="61">
        <v>3147.38</v>
      </c>
      <c r="C20" s="62">
        <f t="shared" si="0"/>
        <v>6542.5089460000008</v>
      </c>
      <c r="D20" s="63">
        <v>2</v>
      </c>
      <c r="E20" s="62">
        <f>$C20*D20</f>
        <v>13085.017892000002</v>
      </c>
      <c r="F20" s="64">
        <f t="shared" si="1"/>
        <v>0</v>
      </c>
      <c r="G20" s="63">
        <f t="shared" si="2"/>
        <v>2</v>
      </c>
      <c r="H20" s="62">
        <f>$C20*G20</f>
        <v>13085.017892000002</v>
      </c>
      <c r="I20" s="64">
        <f t="shared" si="132"/>
        <v>78510.107352000006</v>
      </c>
      <c r="J20" s="63">
        <f t="shared" si="4"/>
        <v>2</v>
      </c>
      <c r="K20" s="62">
        <f t="shared" si="5"/>
        <v>13085.017892000002</v>
      </c>
      <c r="L20" s="64">
        <f t="shared" si="6"/>
        <v>157020.21470400001</v>
      </c>
      <c r="M20" s="63">
        <f t="shared" si="7"/>
        <v>2</v>
      </c>
      <c r="N20" s="62">
        <f t="shared" si="133"/>
        <v>13085.017892000002</v>
      </c>
      <c r="O20" s="64">
        <f t="shared" si="134"/>
        <v>157020.21470400001</v>
      </c>
      <c r="P20" s="63">
        <f t="shared" si="10"/>
        <v>2</v>
      </c>
      <c r="Q20" s="62">
        <f t="shared" si="135"/>
        <v>13085.017892000002</v>
      </c>
      <c r="R20" s="64">
        <f t="shared" si="136"/>
        <v>157020.21470400001</v>
      </c>
      <c r="S20" s="63">
        <f t="shared" si="139"/>
        <v>2</v>
      </c>
      <c r="T20" s="62">
        <f t="shared" si="137"/>
        <v>13085.017892000002</v>
      </c>
      <c r="U20" s="64">
        <f t="shared" si="138"/>
        <v>157020.21470400001</v>
      </c>
      <c r="V20" s="63">
        <f t="shared" si="15"/>
        <v>2</v>
      </c>
      <c r="W20" s="62">
        <f t="shared" si="16"/>
        <v>13085.017892000002</v>
      </c>
      <c r="X20" s="64">
        <f t="shared" si="17"/>
        <v>157020.21470400001</v>
      </c>
      <c r="Y20" s="63">
        <f t="shared" si="18"/>
        <v>2</v>
      </c>
      <c r="Z20" s="62">
        <f t="shared" si="19"/>
        <v>13085.017892000002</v>
      </c>
      <c r="AA20" s="64">
        <f t="shared" si="20"/>
        <v>157020.21470400001</v>
      </c>
      <c r="AB20" s="63">
        <f t="shared" si="21"/>
        <v>2</v>
      </c>
      <c r="AC20" s="62">
        <f t="shared" si="22"/>
        <v>13085.017892000002</v>
      </c>
      <c r="AD20" s="64">
        <f t="shared" si="23"/>
        <v>157020.21470400001</v>
      </c>
      <c r="AE20" s="63">
        <f t="shared" si="24"/>
        <v>2</v>
      </c>
      <c r="AF20" s="62">
        <f t="shared" si="25"/>
        <v>13085.017892000002</v>
      </c>
      <c r="AG20" s="64">
        <f t="shared" si="26"/>
        <v>157020.21470400001</v>
      </c>
      <c r="AH20" s="63">
        <f>'Memoria-equipamentoXfuncionario'!H53</f>
        <v>2</v>
      </c>
      <c r="AI20" s="62">
        <f t="shared" si="27"/>
        <v>13085.017892000002</v>
      </c>
      <c r="AJ20" s="64">
        <f t="shared" si="28"/>
        <v>157020.21470400001</v>
      </c>
      <c r="AK20" s="63">
        <f t="shared" si="29"/>
        <v>2</v>
      </c>
      <c r="AL20" s="62">
        <f t="shared" si="30"/>
        <v>13085.017892000002</v>
      </c>
      <c r="AM20" s="64">
        <f t="shared" si="31"/>
        <v>157020.21470400001</v>
      </c>
      <c r="AN20" s="63">
        <f t="shared" si="32"/>
        <v>2</v>
      </c>
      <c r="AO20" s="62">
        <f t="shared" si="33"/>
        <v>13085.017892000002</v>
      </c>
      <c r="AP20" s="64">
        <f t="shared" si="34"/>
        <v>157020.21470400001</v>
      </c>
      <c r="AQ20" s="63">
        <f t="shared" si="35"/>
        <v>2</v>
      </c>
      <c r="AR20" s="62">
        <f t="shared" si="36"/>
        <v>13085.017892000002</v>
      </c>
      <c r="AS20" s="64">
        <f t="shared" si="37"/>
        <v>157020.21470400001</v>
      </c>
      <c r="AT20" s="63">
        <f t="shared" si="38"/>
        <v>2</v>
      </c>
      <c r="AU20" s="62">
        <f t="shared" si="39"/>
        <v>13085.017892000002</v>
      </c>
      <c r="AV20" s="64">
        <f t="shared" si="40"/>
        <v>157020.21470400001</v>
      </c>
      <c r="AW20" s="63">
        <f>'Memoria-equipamentoXfuncionario'!J53</f>
        <v>2</v>
      </c>
      <c r="AX20" s="62">
        <f t="shared" si="41"/>
        <v>13085.017892000002</v>
      </c>
      <c r="AY20" s="64">
        <f t="shared" si="42"/>
        <v>157020.21470400001</v>
      </c>
      <c r="AZ20" s="63">
        <f t="shared" si="43"/>
        <v>2</v>
      </c>
      <c r="BA20" s="62">
        <f t="shared" si="44"/>
        <v>13085.017892000002</v>
      </c>
      <c r="BB20" s="64">
        <f t="shared" si="45"/>
        <v>157020.21470400001</v>
      </c>
      <c r="BC20" s="63">
        <f t="shared" si="46"/>
        <v>2</v>
      </c>
      <c r="BD20" s="62">
        <f t="shared" si="47"/>
        <v>13085.017892000002</v>
      </c>
      <c r="BE20" s="64">
        <f t="shared" si="48"/>
        <v>157020.21470400001</v>
      </c>
      <c r="BF20" s="63">
        <f t="shared" si="49"/>
        <v>2</v>
      </c>
      <c r="BG20" s="62">
        <f t="shared" si="50"/>
        <v>13085.017892000002</v>
      </c>
      <c r="BH20" s="64">
        <f t="shared" si="51"/>
        <v>157020.21470400001</v>
      </c>
      <c r="BI20" s="63">
        <f t="shared" si="52"/>
        <v>2</v>
      </c>
      <c r="BJ20" s="62">
        <f t="shared" si="53"/>
        <v>13085.017892000002</v>
      </c>
      <c r="BK20" s="64">
        <f t="shared" si="54"/>
        <v>157020.21470400001</v>
      </c>
      <c r="BL20" s="63">
        <f t="shared" si="55"/>
        <v>2</v>
      </c>
      <c r="BM20" s="62">
        <f t="shared" si="56"/>
        <v>13085.017892000002</v>
      </c>
      <c r="BN20" s="64">
        <f t="shared" si="57"/>
        <v>157020.21470400001</v>
      </c>
      <c r="BO20" s="63">
        <f t="shared" si="58"/>
        <v>2</v>
      </c>
      <c r="BP20" s="62">
        <f t="shared" si="59"/>
        <v>13085.017892000002</v>
      </c>
      <c r="BQ20" s="64">
        <f t="shared" si="60"/>
        <v>157020.21470400001</v>
      </c>
      <c r="BR20" s="63">
        <f t="shared" si="61"/>
        <v>2</v>
      </c>
      <c r="BS20" s="62">
        <f t="shared" si="62"/>
        <v>13085.017892000002</v>
      </c>
      <c r="BT20" s="64">
        <f t="shared" si="63"/>
        <v>157020.21470400001</v>
      </c>
      <c r="BU20" s="63">
        <f t="shared" si="64"/>
        <v>2</v>
      </c>
      <c r="BV20" s="62">
        <f t="shared" si="65"/>
        <v>13085.017892000002</v>
      </c>
      <c r="BW20" s="64">
        <f t="shared" si="66"/>
        <v>157020.21470400001</v>
      </c>
      <c r="BX20" s="63">
        <f t="shared" si="67"/>
        <v>2</v>
      </c>
      <c r="BY20" s="62">
        <f t="shared" si="68"/>
        <v>13085.017892000002</v>
      </c>
      <c r="BZ20" s="65">
        <f t="shared" ref="BZ20" si="140">BY20*12</f>
        <v>157020.21470400001</v>
      </c>
      <c r="CA20" s="67">
        <f t="shared" si="70"/>
        <v>3689975.0455439989</v>
      </c>
      <c r="CB20" s="7"/>
    </row>
    <row r="21" spans="1:80" ht="12.75" customHeight="1" x14ac:dyDescent="0.35">
      <c r="A21" s="790" t="s">
        <v>109</v>
      </c>
      <c r="B21" s="61">
        <v>2786.63</v>
      </c>
      <c r="C21" s="62">
        <f t="shared" si="0"/>
        <v>5935.8356710000007</v>
      </c>
      <c r="D21" s="63">
        <v>2</v>
      </c>
      <c r="E21" s="62">
        <f>$C21*D21</f>
        <v>11871.671342000001</v>
      </c>
      <c r="F21" s="64">
        <f t="shared" si="1"/>
        <v>0</v>
      </c>
      <c r="G21" s="63">
        <f t="shared" si="2"/>
        <v>2</v>
      </c>
      <c r="H21" s="62">
        <f>$C21*G21</f>
        <v>11871.671342000001</v>
      </c>
      <c r="I21" s="64">
        <f t="shared" si="132"/>
        <v>71230.028052000009</v>
      </c>
      <c r="J21" s="63">
        <f t="shared" si="4"/>
        <v>2</v>
      </c>
      <c r="K21" s="62">
        <f t="shared" si="5"/>
        <v>11871.671342000001</v>
      </c>
      <c r="L21" s="64">
        <f t="shared" si="6"/>
        <v>142460.05610400002</v>
      </c>
      <c r="M21" s="63">
        <f t="shared" si="7"/>
        <v>2</v>
      </c>
      <c r="N21" s="62">
        <f t="shared" si="133"/>
        <v>11871.671342000001</v>
      </c>
      <c r="O21" s="64">
        <f t="shared" si="134"/>
        <v>142460.05610400002</v>
      </c>
      <c r="P21" s="63">
        <f t="shared" si="10"/>
        <v>2</v>
      </c>
      <c r="Q21" s="62">
        <f t="shared" si="135"/>
        <v>11871.671342000001</v>
      </c>
      <c r="R21" s="64">
        <f t="shared" si="136"/>
        <v>142460.05610400002</v>
      </c>
      <c r="S21" s="63">
        <f t="shared" si="139"/>
        <v>2</v>
      </c>
      <c r="T21" s="62">
        <f t="shared" si="137"/>
        <v>11871.671342000001</v>
      </c>
      <c r="U21" s="64">
        <f t="shared" si="138"/>
        <v>142460.05610400002</v>
      </c>
      <c r="V21" s="63">
        <f t="shared" si="15"/>
        <v>2</v>
      </c>
      <c r="W21" s="62">
        <f t="shared" si="16"/>
        <v>11871.671342000001</v>
      </c>
      <c r="X21" s="64">
        <f t="shared" si="17"/>
        <v>142460.05610400002</v>
      </c>
      <c r="Y21" s="63">
        <f t="shared" si="18"/>
        <v>2</v>
      </c>
      <c r="Z21" s="62">
        <f t="shared" si="19"/>
        <v>11871.671342000001</v>
      </c>
      <c r="AA21" s="64">
        <f t="shared" si="20"/>
        <v>142460.05610400002</v>
      </c>
      <c r="AB21" s="63">
        <f t="shared" si="21"/>
        <v>2</v>
      </c>
      <c r="AC21" s="62">
        <f t="shared" si="22"/>
        <v>11871.671342000001</v>
      </c>
      <c r="AD21" s="64">
        <f t="shared" si="23"/>
        <v>142460.05610400002</v>
      </c>
      <c r="AE21" s="63">
        <f t="shared" si="24"/>
        <v>2</v>
      </c>
      <c r="AF21" s="62">
        <f t="shared" si="25"/>
        <v>11871.671342000001</v>
      </c>
      <c r="AG21" s="64">
        <f t="shared" si="26"/>
        <v>142460.05610400002</v>
      </c>
      <c r="AH21" s="63">
        <f>AE21</f>
        <v>2</v>
      </c>
      <c r="AI21" s="62">
        <f t="shared" si="27"/>
        <v>11871.671342000001</v>
      </c>
      <c r="AJ21" s="64">
        <f t="shared" si="28"/>
        <v>142460.05610400002</v>
      </c>
      <c r="AK21" s="63">
        <f t="shared" si="29"/>
        <v>2</v>
      </c>
      <c r="AL21" s="62">
        <f t="shared" si="30"/>
        <v>11871.671342000001</v>
      </c>
      <c r="AM21" s="64">
        <f t="shared" si="31"/>
        <v>142460.05610400002</v>
      </c>
      <c r="AN21" s="63">
        <f t="shared" si="32"/>
        <v>2</v>
      </c>
      <c r="AO21" s="62">
        <f t="shared" si="33"/>
        <v>11871.671342000001</v>
      </c>
      <c r="AP21" s="64">
        <f t="shared" si="34"/>
        <v>142460.05610400002</v>
      </c>
      <c r="AQ21" s="63">
        <f t="shared" si="35"/>
        <v>2</v>
      </c>
      <c r="AR21" s="62">
        <f t="shared" si="36"/>
        <v>11871.671342000001</v>
      </c>
      <c r="AS21" s="64">
        <f t="shared" si="37"/>
        <v>142460.05610400002</v>
      </c>
      <c r="AT21" s="63">
        <f t="shared" si="38"/>
        <v>2</v>
      </c>
      <c r="AU21" s="62">
        <f t="shared" si="39"/>
        <v>11871.671342000001</v>
      </c>
      <c r="AV21" s="64">
        <f t="shared" si="40"/>
        <v>142460.05610400002</v>
      </c>
      <c r="AW21" s="63">
        <f>AT21</f>
        <v>2</v>
      </c>
      <c r="AX21" s="62">
        <f t="shared" si="41"/>
        <v>11871.671342000001</v>
      </c>
      <c r="AY21" s="64">
        <f t="shared" si="42"/>
        <v>142460.05610400002</v>
      </c>
      <c r="AZ21" s="63">
        <f t="shared" si="43"/>
        <v>2</v>
      </c>
      <c r="BA21" s="62">
        <f t="shared" si="44"/>
        <v>11871.671342000001</v>
      </c>
      <c r="BB21" s="64">
        <f t="shared" si="45"/>
        <v>142460.05610400002</v>
      </c>
      <c r="BC21" s="63">
        <f t="shared" si="46"/>
        <v>2</v>
      </c>
      <c r="BD21" s="62">
        <f t="shared" si="47"/>
        <v>11871.671342000001</v>
      </c>
      <c r="BE21" s="64">
        <f t="shared" si="48"/>
        <v>142460.05610400002</v>
      </c>
      <c r="BF21" s="63">
        <f t="shared" si="49"/>
        <v>2</v>
      </c>
      <c r="BG21" s="62">
        <f t="shared" si="50"/>
        <v>11871.671342000001</v>
      </c>
      <c r="BH21" s="64">
        <f t="shared" si="51"/>
        <v>142460.05610400002</v>
      </c>
      <c r="BI21" s="63">
        <f t="shared" si="52"/>
        <v>2</v>
      </c>
      <c r="BJ21" s="62">
        <f t="shared" si="53"/>
        <v>11871.671342000001</v>
      </c>
      <c r="BK21" s="64">
        <f t="shared" si="54"/>
        <v>142460.05610400002</v>
      </c>
      <c r="BL21" s="63">
        <f t="shared" si="55"/>
        <v>2</v>
      </c>
      <c r="BM21" s="62">
        <f t="shared" si="56"/>
        <v>11871.671342000001</v>
      </c>
      <c r="BN21" s="64">
        <f t="shared" si="57"/>
        <v>142460.05610400002</v>
      </c>
      <c r="BO21" s="63">
        <f t="shared" si="58"/>
        <v>2</v>
      </c>
      <c r="BP21" s="62">
        <f t="shared" si="59"/>
        <v>11871.671342000001</v>
      </c>
      <c r="BQ21" s="64">
        <f t="shared" si="60"/>
        <v>142460.05610400002</v>
      </c>
      <c r="BR21" s="63">
        <f t="shared" si="61"/>
        <v>2</v>
      </c>
      <c r="BS21" s="62">
        <f t="shared" si="62"/>
        <v>11871.671342000001</v>
      </c>
      <c r="BT21" s="64">
        <f t="shared" si="63"/>
        <v>142460.05610400002</v>
      </c>
      <c r="BU21" s="63">
        <f t="shared" si="64"/>
        <v>2</v>
      </c>
      <c r="BV21" s="62">
        <f t="shared" si="65"/>
        <v>11871.671342000001</v>
      </c>
      <c r="BW21" s="64">
        <f t="shared" si="66"/>
        <v>142460.05610400002</v>
      </c>
      <c r="BX21" s="63">
        <f t="shared" si="67"/>
        <v>2</v>
      </c>
      <c r="BY21" s="62">
        <f t="shared" si="68"/>
        <v>11871.671342000001</v>
      </c>
      <c r="BZ21" s="65">
        <f>BY21*12</f>
        <v>142460.05610400002</v>
      </c>
      <c r="CA21" s="67">
        <f t="shared" si="70"/>
        <v>3347811.3184440015</v>
      </c>
      <c r="CB21" s="7"/>
    </row>
    <row r="22" spans="1:80" ht="12.75" customHeight="1" x14ac:dyDescent="0.35">
      <c r="A22" s="791" t="s">
        <v>110</v>
      </c>
      <c r="B22" s="61">
        <v>6707.72</v>
      </c>
      <c r="C22" s="62">
        <f t="shared" si="0"/>
        <v>12529.932724</v>
      </c>
      <c r="D22" s="63">
        <v>1</v>
      </c>
      <c r="E22" s="62">
        <f t="shared" si="80"/>
        <v>12529.932724</v>
      </c>
      <c r="F22" s="64">
        <f t="shared" si="1"/>
        <v>0</v>
      </c>
      <c r="G22" s="63">
        <f t="shared" si="2"/>
        <v>1</v>
      </c>
      <c r="H22" s="62">
        <f t="shared" si="3"/>
        <v>12529.932724</v>
      </c>
      <c r="I22" s="64">
        <f>H22*6</f>
        <v>75179.596344000005</v>
      </c>
      <c r="J22" s="63">
        <f t="shared" si="4"/>
        <v>1</v>
      </c>
      <c r="K22" s="62">
        <f t="shared" si="5"/>
        <v>12529.932724</v>
      </c>
      <c r="L22" s="64">
        <f t="shared" si="6"/>
        <v>150359.19268800001</v>
      </c>
      <c r="M22" s="63">
        <f t="shared" si="7"/>
        <v>1</v>
      </c>
      <c r="N22" s="62">
        <f t="shared" si="133"/>
        <v>12529.932724</v>
      </c>
      <c r="O22" s="64">
        <f t="shared" si="134"/>
        <v>150359.19268800001</v>
      </c>
      <c r="P22" s="63">
        <f t="shared" si="10"/>
        <v>1</v>
      </c>
      <c r="Q22" s="62">
        <f t="shared" si="135"/>
        <v>12529.932724</v>
      </c>
      <c r="R22" s="64">
        <f t="shared" si="136"/>
        <v>150359.19268800001</v>
      </c>
      <c r="S22" s="63">
        <v>1</v>
      </c>
      <c r="T22" s="62">
        <f t="shared" si="137"/>
        <v>12529.932724</v>
      </c>
      <c r="U22" s="64">
        <f t="shared" si="138"/>
        <v>150359.19268800001</v>
      </c>
      <c r="V22" s="63">
        <f t="shared" si="15"/>
        <v>1</v>
      </c>
      <c r="W22" s="62">
        <f t="shared" si="16"/>
        <v>12529.932724</v>
      </c>
      <c r="X22" s="64">
        <f t="shared" si="17"/>
        <v>150359.19268800001</v>
      </c>
      <c r="Y22" s="63">
        <f t="shared" si="18"/>
        <v>1</v>
      </c>
      <c r="Z22" s="62">
        <f t="shared" si="19"/>
        <v>12529.932724</v>
      </c>
      <c r="AA22" s="64">
        <f t="shared" si="20"/>
        <v>150359.19268800001</v>
      </c>
      <c r="AB22" s="63">
        <f t="shared" si="21"/>
        <v>1</v>
      </c>
      <c r="AC22" s="62">
        <f t="shared" si="22"/>
        <v>12529.932724</v>
      </c>
      <c r="AD22" s="64">
        <f t="shared" si="23"/>
        <v>150359.19268800001</v>
      </c>
      <c r="AE22" s="63">
        <f t="shared" si="24"/>
        <v>1</v>
      </c>
      <c r="AF22" s="62">
        <f t="shared" si="25"/>
        <v>12529.932724</v>
      </c>
      <c r="AG22" s="64">
        <f t="shared" si="26"/>
        <v>150359.19268800001</v>
      </c>
      <c r="AH22" s="63">
        <v>1</v>
      </c>
      <c r="AI22" s="62">
        <f t="shared" si="27"/>
        <v>12529.932724</v>
      </c>
      <c r="AJ22" s="64">
        <f t="shared" si="28"/>
        <v>150359.19268800001</v>
      </c>
      <c r="AK22" s="63">
        <f t="shared" si="29"/>
        <v>1</v>
      </c>
      <c r="AL22" s="62">
        <f t="shared" si="30"/>
        <v>12529.932724</v>
      </c>
      <c r="AM22" s="64">
        <f t="shared" si="31"/>
        <v>150359.19268800001</v>
      </c>
      <c r="AN22" s="63">
        <f t="shared" si="32"/>
        <v>1</v>
      </c>
      <c r="AO22" s="62">
        <f t="shared" si="33"/>
        <v>12529.932724</v>
      </c>
      <c r="AP22" s="64">
        <f t="shared" si="34"/>
        <v>150359.19268800001</v>
      </c>
      <c r="AQ22" s="63">
        <f t="shared" si="35"/>
        <v>1</v>
      </c>
      <c r="AR22" s="62">
        <f t="shared" si="36"/>
        <v>12529.932724</v>
      </c>
      <c r="AS22" s="64">
        <f t="shared" si="37"/>
        <v>150359.19268800001</v>
      </c>
      <c r="AT22" s="63">
        <f t="shared" si="38"/>
        <v>1</v>
      </c>
      <c r="AU22" s="62">
        <f t="shared" si="39"/>
        <v>12529.932724</v>
      </c>
      <c r="AV22" s="64">
        <f t="shared" si="40"/>
        <v>150359.19268800001</v>
      </c>
      <c r="AW22" s="63">
        <v>1</v>
      </c>
      <c r="AX22" s="62">
        <f t="shared" si="41"/>
        <v>12529.932724</v>
      </c>
      <c r="AY22" s="64">
        <f t="shared" si="42"/>
        <v>150359.19268800001</v>
      </c>
      <c r="AZ22" s="63">
        <f t="shared" si="43"/>
        <v>1</v>
      </c>
      <c r="BA22" s="62">
        <f t="shared" si="44"/>
        <v>12529.932724</v>
      </c>
      <c r="BB22" s="64">
        <f t="shared" si="45"/>
        <v>150359.19268800001</v>
      </c>
      <c r="BC22" s="63">
        <f t="shared" si="46"/>
        <v>1</v>
      </c>
      <c r="BD22" s="62">
        <f t="shared" si="47"/>
        <v>12529.932724</v>
      </c>
      <c r="BE22" s="64">
        <f t="shared" si="48"/>
        <v>150359.19268800001</v>
      </c>
      <c r="BF22" s="63">
        <f t="shared" si="49"/>
        <v>1</v>
      </c>
      <c r="BG22" s="62">
        <f t="shared" si="50"/>
        <v>12529.932724</v>
      </c>
      <c r="BH22" s="64">
        <f t="shared" si="51"/>
        <v>150359.19268800001</v>
      </c>
      <c r="BI22" s="63">
        <f t="shared" si="52"/>
        <v>1</v>
      </c>
      <c r="BJ22" s="62">
        <f t="shared" si="53"/>
        <v>12529.932724</v>
      </c>
      <c r="BK22" s="64">
        <f t="shared" si="54"/>
        <v>150359.19268800001</v>
      </c>
      <c r="BL22" s="63">
        <f t="shared" si="55"/>
        <v>1</v>
      </c>
      <c r="BM22" s="62">
        <f t="shared" si="56"/>
        <v>12529.932724</v>
      </c>
      <c r="BN22" s="64">
        <f t="shared" si="57"/>
        <v>150359.19268800001</v>
      </c>
      <c r="BO22" s="63">
        <f t="shared" si="58"/>
        <v>1</v>
      </c>
      <c r="BP22" s="62">
        <f t="shared" si="59"/>
        <v>12529.932724</v>
      </c>
      <c r="BQ22" s="64">
        <f t="shared" si="60"/>
        <v>150359.19268800001</v>
      </c>
      <c r="BR22" s="63">
        <f t="shared" si="61"/>
        <v>1</v>
      </c>
      <c r="BS22" s="62">
        <f t="shared" si="62"/>
        <v>12529.932724</v>
      </c>
      <c r="BT22" s="64">
        <f t="shared" si="63"/>
        <v>150359.19268800001</v>
      </c>
      <c r="BU22" s="63">
        <f t="shared" si="64"/>
        <v>1</v>
      </c>
      <c r="BV22" s="62">
        <f t="shared" si="65"/>
        <v>12529.932724</v>
      </c>
      <c r="BW22" s="64">
        <f t="shared" si="66"/>
        <v>150359.19268800001</v>
      </c>
      <c r="BX22" s="63">
        <f t="shared" si="67"/>
        <v>1</v>
      </c>
      <c r="BY22" s="62">
        <f t="shared" si="68"/>
        <v>12529.932724</v>
      </c>
      <c r="BZ22" s="65">
        <f>BY22*12</f>
        <v>150359.19268800001</v>
      </c>
      <c r="CA22" s="67">
        <f t="shared" si="70"/>
        <v>3533441.0281679989</v>
      </c>
      <c r="CB22" s="7"/>
    </row>
    <row r="23" spans="1:80" ht="12.75" customHeight="1" x14ac:dyDescent="0.35">
      <c r="A23" s="791" t="s">
        <v>111</v>
      </c>
      <c r="B23" s="61">
        <v>620</v>
      </c>
      <c r="C23" s="62">
        <f t="shared" si="0"/>
        <v>2292.2139999999999</v>
      </c>
      <c r="D23" s="63">
        <v>3</v>
      </c>
      <c r="E23" s="62">
        <f>$C23*D23</f>
        <v>6876.6419999999998</v>
      </c>
      <c r="F23" s="64">
        <f t="shared" si="1"/>
        <v>0</v>
      </c>
      <c r="G23" s="63">
        <v>3</v>
      </c>
      <c r="H23" s="62">
        <f>$C23*G23</f>
        <v>6876.6419999999998</v>
      </c>
      <c r="I23" s="64">
        <f>H23*6</f>
        <v>41259.851999999999</v>
      </c>
      <c r="J23" s="63">
        <v>3</v>
      </c>
      <c r="K23" s="62">
        <f t="shared" si="5"/>
        <v>6876.6419999999998</v>
      </c>
      <c r="L23" s="64">
        <f t="shared" si="6"/>
        <v>82519.703999999998</v>
      </c>
      <c r="M23" s="63">
        <v>3</v>
      </c>
      <c r="N23" s="62">
        <f t="shared" si="133"/>
        <v>6876.6419999999998</v>
      </c>
      <c r="O23" s="64">
        <f t="shared" si="134"/>
        <v>82519.703999999998</v>
      </c>
      <c r="P23" s="63">
        <v>3</v>
      </c>
      <c r="Q23" s="62">
        <f t="shared" ref="Q23" si="141">$C23*P23</f>
        <v>6876.6419999999998</v>
      </c>
      <c r="R23" s="64">
        <f t="shared" ref="R23" si="142">Q23*12</f>
        <v>82519.703999999998</v>
      </c>
      <c r="S23" s="63">
        <f>P23</f>
        <v>3</v>
      </c>
      <c r="T23" s="62">
        <f t="shared" ref="T23" si="143">$C23*S23</f>
        <v>6876.6419999999998</v>
      </c>
      <c r="U23" s="64">
        <f t="shared" ref="U23" si="144">T23*12</f>
        <v>82519.703999999998</v>
      </c>
      <c r="V23" s="63">
        <f>S23</f>
        <v>3</v>
      </c>
      <c r="W23" s="62">
        <f t="shared" si="16"/>
        <v>6876.6419999999998</v>
      </c>
      <c r="X23" s="64">
        <f t="shared" si="17"/>
        <v>82519.703999999998</v>
      </c>
      <c r="Y23" s="63">
        <f t="shared" si="18"/>
        <v>3</v>
      </c>
      <c r="Z23" s="62">
        <f t="shared" si="19"/>
        <v>6876.6419999999998</v>
      </c>
      <c r="AA23" s="64">
        <f t="shared" si="20"/>
        <v>82519.703999999998</v>
      </c>
      <c r="AB23" s="63">
        <f t="shared" si="21"/>
        <v>3</v>
      </c>
      <c r="AC23" s="62">
        <f t="shared" si="22"/>
        <v>6876.6419999999998</v>
      </c>
      <c r="AD23" s="64">
        <f t="shared" si="23"/>
        <v>82519.703999999998</v>
      </c>
      <c r="AE23" s="63">
        <f t="shared" si="24"/>
        <v>3</v>
      </c>
      <c r="AF23" s="62">
        <f t="shared" si="25"/>
        <v>6876.6419999999998</v>
      </c>
      <c r="AG23" s="64">
        <f t="shared" si="26"/>
        <v>82519.703999999998</v>
      </c>
      <c r="AH23" s="63">
        <f>AE23</f>
        <v>3</v>
      </c>
      <c r="AI23" s="62">
        <f t="shared" ref="AI23" si="145">$C23*AH23</f>
        <v>6876.6419999999998</v>
      </c>
      <c r="AJ23" s="64">
        <f t="shared" ref="AJ23" si="146">AI23*12</f>
        <v>82519.703999999998</v>
      </c>
      <c r="AK23" s="63">
        <f>AH23</f>
        <v>3</v>
      </c>
      <c r="AL23" s="62">
        <f t="shared" si="30"/>
        <v>6876.6419999999998</v>
      </c>
      <c r="AM23" s="64">
        <f t="shared" si="31"/>
        <v>82519.703999999998</v>
      </c>
      <c r="AN23" s="63">
        <f t="shared" si="32"/>
        <v>3</v>
      </c>
      <c r="AO23" s="62">
        <f t="shared" si="33"/>
        <v>6876.6419999999998</v>
      </c>
      <c r="AP23" s="64">
        <f t="shared" si="34"/>
        <v>82519.703999999998</v>
      </c>
      <c r="AQ23" s="63">
        <f t="shared" si="35"/>
        <v>3</v>
      </c>
      <c r="AR23" s="62">
        <f t="shared" si="36"/>
        <v>6876.6419999999998</v>
      </c>
      <c r="AS23" s="64">
        <f t="shared" si="37"/>
        <v>82519.703999999998</v>
      </c>
      <c r="AT23" s="63">
        <f t="shared" si="38"/>
        <v>3</v>
      </c>
      <c r="AU23" s="62">
        <f t="shared" si="39"/>
        <v>6876.6419999999998</v>
      </c>
      <c r="AV23" s="64">
        <f t="shared" si="40"/>
        <v>82519.703999999998</v>
      </c>
      <c r="AW23" s="63">
        <f>AT23</f>
        <v>3</v>
      </c>
      <c r="AX23" s="62">
        <f t="shared" ref="AX23" si="147">$C23*AW23</f>
        <v>6876.6419999999998</v>
      </c>
      <c r="AY23" s="64">
        <f t="shared" ref="AY23" si="148">AX23*12</f>
        <v>82519.703999999998</v>
      </c>
      <c r="AZ23" s="63">
        <f>AW23</f>
        <v>3</v>
      </c>
      <c r="BA23" s="62">
        <f t="shared" si="44"/>
        <v>6876.6419999999998</v>
      </c>
      <c r="BB23" s="64">
        <f t="shared" si="45"/>
        <v>82519.703999999998</v>
      </c>
      <c r="BC23" s="63">
        <f t="shared" si="46"/>
        <v>3</v>
      </c>
      <c r="BD23" s="62">
        <f t="shared" si="47"/>
        <v>6876.6419999999998</v>
      </c>
      <c r="BE23" s="64">
        <f t="shared" si="48"/>
        <v>82519.703999999998</v>
      </c>
      <c r="BF23" s="63">
        <f t="shared" si="49"/>
        <v>3</v>
      </c>
      <c r="BG23" s="62">
        <f t="shared" si="50"/>
        <v>6876.6419999999998</v>
      </c>
      <c r="BH23" s="64">
        <f t="shared" si="51"/>
        <v>82519.703999999998</v>
      </c>
      <c r="BI23" s="63">
        <f t="shared" si="52"/>
        <v>3</v>
      </c>
      <c r="BJ23" s="62">
        <f t="shared" si="53"/>
        <v>6876.6419999999998</v>
      </c>
      <c r="BK23" s="64">
        <f t="shared" si="54"/>
        <v>82519.703999999998</v>
      </c>
      <c r="BL23" s="63">
        <f t="shared" si="55"/>
        <v>3</v>
      </c>
      <c r="BM23" s="62">
        <f t="shared" si="56"/>
        <v>6876.6419999999998</v>
      </c>
      <c r="BN23" s="64">
        <f t="shared" si="57"/>
        <v>82519.703999999998</v>
      </c>
      <c r="BO23" s="63">
        <f t="shared" si="58"/>
        <v>3</v>
      </c>
      <c r="BP23" s="62">
        <f t="shared" si="59"/>
        <v>6876.6419999999998</v>
      </c>
      <c r="BQ23" s="64">
        <f t="shared" si="60"/>
        <v>82519.703999999998</v>
      </c>
      <c r="BR23" s="63">
        <f t="shared" si="61"/>
        <v>3</v>
      </c>
      <c r="BS23" s="62">
        <f t="shared" si="62"/>
        <v>6876.6419999999998</v>
      </c>
      <c r="BT23" s="64">
        <f t="shared" si="63"/>
        <v>82519.703999999998</v>
      </c>
      <c r="BU23" s="63">
        <f t="shared" si="64"/>
        <v>3</v>
      </c>
      <c r="BV23" s="62">
        <f t="shared" si="65"/>
        <v>6876.6419999999998</v>
      </c>
      <c r="BW23" s="64">
        <f t="shared" si="66"/>
        <v>82519.703999999998</v>
      </c>
      <c r="BX23" s="63">
        <f t="shared" si="67"/>
        <v>3</v>
      </c>
      <c r="BY23" s="62">
        <f t="shared" si="68"/>
        <v>6876.6419999999998</v>
      </c>
      <c r="BZ23" s="65">
        <f>BY23*12</f>
        <v>82519.703999999998</v>
      </c>
      <c r="CA23" s="67">
        <f t="shared" si="70"/>
        <v>1939213.0439999993</v>
      </c>
      <c r="CB23" s="7"/>
    </row>
    <row r="24" spans="1:80" ht="12.75" customHeight="1" x14ac:dyDescent="0.35">
      <c r="A24" s="790" t="s">
        <v>112</v>
      </c>
      <c r="B24" s="61">
        <v>3671.47</v>
      </c>
      <c r="C24" s="62">
        <f t="shared" si="0"/>
        <v>7423.871099</v>
      </c>
      <c r="D24" s="63">
        <v>1</v>
      </c>
      <c r="E24" s="62">
        <f t="shared" si="80"/>
        <v>7423.871099</v>
      </c>
      <c r="F24" s="64">
        <f t="shared" si="1"/>
        <v>0</v>
      </c>
      <c r="G24" s="63">
        <f t="shared" si="2"/>
        <v>1</v>
      </c>
      <c r="H24" s="62">
        <f t="shared" si="3"/>
        <v>7423.871099</v>
      </c>
      <c r="I24" s="64">
        <f>H24*6</f>
        <v>44543.226594</v>
      </c>
      <c r="J24" s="63">
        <f t="shared" si="4"/>
        <v>1</v>
      </c>
      <c r="K24" s="62">
        <f t="shared" si="5"/>
        <v>7423.871099</v>
      </c>
      <c r="L24" s="64">
        <f t="shared" si="6"/>
        <v>89086.453187999999</v>
      </c>
      <c r="M24" s="63">
        <f t="shared" si="7"/>
        <v>1</v>
      </c>
      <c r="N24" s="62">
        <f t="shared" si="133"/>
        <v>7423.871099</v>
      </c>
      <c r="O24" s="64">
        <f t="shared" si="134"/>
        <v>89086.453187999999</v>
      </c>
      <c r="P24" s="63">
        <f t="shared" si="10"/>
        <v>1</v>
      </c>
      <c r="Q24" s="62">
        <f t="shared" si="135"/>
        <v>7423.871099</v>
      </c>
      <c r="R24" s="64">
        <f t="shared" si="136"/>
        <v>89086.453187999999</v>
      </c>
      <c r="S24" s="63">
        <f t="shared" ref="S24:S25" si="149">P24</f>
        <v>1</v>
      </c>
      <c r="T24" s="62">
        <f t="shared" si="137"/>
        <v>7423.871099</v>
      </c>
      <c r="U24" s="64">
        <f t="shared" si="138"/>
        <v>89086.453187999999</v>
      </c>
      <c r="V24" s="63">
        <f t="shared" si="15"/>
        <v>1</v>
      </c>
      <c r="W24" s="62">
        <f t="shared" si="16"/>
        <v>7423.871099</v>
      </c>
      <c r="X24" s="64">
        <f t="shared" si="17"/>
        <v>89086.453187999999</v>
      </c>
      <c r="Y24" s="63">
        <f t="shared" si="18"/>
        <v>1</v>
      </c>
      <c r="Z24" s="62">
        <f t="shared" si="19"/>
        <v>7423.871099</v>
      </c>
      <c r="AA24" s="64">
        <f t="shared" si="20"/>
        <v>89086.453187999999</v>
      </c>
      <c r="AB24" s="63">
        <f t="shared" si="21"/>
        <v>1</v>
      </c>
      <c r="AC24" s="62">
        <f t="shared" si="22"/>
        <v>7423.871099</v>
      </c>
      <c r="AD24" s="64">
        <f t="shared" si="23"/>
        <v>89086.453187999999</v>
      </c>
      <c r="AE24" s="63">
        <f t="shared" si="24"/>
        <v>1</v>
      </c>
      <c r="AF24" s="62">
        <f t="shared" si="25"/>
        <v>7423.871099</v>
      </c>
      <c r="AG24" s="64">
        <f t="shared" si="26"/>
        <v>89086.453187999999</v>
      </c>
      <c r="AH24" s="63">
        <f>AE24</f>
        <v>1</v>
      </c>
      <c r="AI24" s="62">
        <f t="shared" si="27"/>
        <v>7423.871099</v>
      </c>
      <c r="AJ24" s="64">
        <f t="shared" si="28"/>
        <v>89086.453187999999</v>
      </c>
      <c r="AK24" s="63">
        <f t="shared" si="29"/>
        <v>1</v>
      </c>
      <c r="AL24" s="62">
        <f t="shared" si="30"/>
        <v>7423.871099</v>
      </c>
      <c r="AM24" s="64">
        <f t="shared" si="31"/>
        <v>89086.453187999999</v>
      </c>
      <c r="AN24" s="63">
        <f t="shared" si="32"/>
        <v>1</v>
      </c>
      <c r="AO24" s="62">
        <f t="shared" si="33"/>
        <v>7423.871099</v>
      </c>
      <c r="AP24" s="64">
        <f t="shared" si="34"/>
        <v>89086.453187999999</v>
      </c>
      <c r="AQ24" s="63">
        <f t="shared" si="35"/>
        <v>1</v>
      </c>
      <c r="AR24" s="62">
        <f t="shared" si="36"/>
        <v>7423.871099</v>
      </c>
      <c r="AS24" s="64">
        <f t="shared" si="37"/>
        <v>89086.453187999999</v>
      </c>
      <c r="AT24" s="63">
        <f t="shared" si="38"/>
        <v>1</v>
      </c>
      <c r="AU24" s="62">
        <f t="shared" si="39"/>
        <v>7423.871099</v>
      </c>
      <c r="AV24" s="64">
        <f t="shared" si="40"/>
        <v>89086.453187999999</v>
      </c>
      <c r="AW24" s="63">
        <f>AT24</f>
        <v>1</v>
      </c>
      <c r="AX24" s="62">
        <f t="shared" si="41"/>
        <v>7423.871099</v>
      </c>
      <c r="AY24" s="64">
        <f t="shared" si="42"/>
        <v>89086.453187999999</v>
      </c>
      <c r="AZ24" s="63">
        <f t="shared" si="43"/>
        <v>1</v>
      </c>
      <c r="BA24" s="62">
        <f t="shared" si="44"/>
        <v>7423.871099</v>
      </c>
      <c r="BB24" s="64">
        <f t="shared" si="45"/>
        <v>89086.453187999999</v>
      </c>
      <c r="BC24" s="63">
        <f t="shared" si="46"/>
        <v>1</v>
      </c>
      <c r="BD24" s="62">
        <f t="shared" si="47"/>
        <v>7423.871099</v>
      </c>
      <c r="BE24" s="64">
        <f t="shared" si="48"/>
        <v>89086.453187999999</v>
      </c>
      <c r="BF24" s="63">
        <f t="shared" si="49"/>
        <v>1</v>
      </c>
      <c r="BG24" s="62">
        <f t="shared" si="50"/>
        <v>7423.871099</v>
      </c>
      <c r="BH24" s="64">
        <f t="shared" si="51"/>
        <v>89086.453187999999</v>
      </c>
      <c r="BI24" s="63">
        <f t="shared" si="52"/>
        <v>1</v>
      </c>
      <c r="BJ24" s="62">
        <f t="shared" si="53"/>
        <v>7423.871099</v>
      </c>
      <c r="BK24" s="64">
        <f t="shared" si="54"/>
        <v>89086.453187999999</v>
      </c>
      <c r="BL24" s="63">
        <f t="shared" si="55"/>
        <v>1</v>
      </c>
      <c r="BM24" s="62">
        <f t="shared" si="56"/>
        <v>7423.871099</v>
      </c>
      <c r="BN24" s="64">
        <f t="shared" si="57"/>
        <v>89086.453187999999</v>
      </c>
      <c r="BO24" s="63">
        <f t="shared" si="58"/>
        <v>1</v>
      </c>
      <c r="BP24" s="62">
        <f t="shared" si="59"/>
        <v>7423.871099</v>
      </c>
      <c r="BQ24" s="64">
        <f t="shared" si="60"/>
        <v>89086.453187999999</v>
      </c>
      <c r="BR24" s="63">
        <f t="shared" si="61"/>
        <v>1</v>
      </c>
      <c r="BS24" s="62">
        <f t="shared" si="62"/>
        <v>7423.871099</v>
      </c>
      <c r="BT24" s="64">
        <f t="shared" si="63"/>
        <v>89086.453187999999</v>
      </c>
      <c r="BU24" s="63">
        <f t="shared" si="64"/>
        <v>1</v>
      </c>
      <c r="BV24" s="62">
        <f t="shared" si="65"/>
        <v>7423.871099</v>
      </c>
      <c r="BW24" s="64">
        <f t="shared" si="66"/>
        <v>89086.453187999999</v>
      </c>
      <c r="BX24" s="63">
        <f t="shared" si="67"/>
        <v>1</v>
      </c>
      <c r="BY24" s="62">
        <f t="shared" si="68"/>
        <v>7423.871099</v>
      </c>
      <c r="BZ24" s="65">
        <f>BY24*12</f>
        <v>89086.453187999999</v>
      </c>
      <c r="CA24" s="67">
        <f t="shared" si="70"/>
        <v>2093531.6499180002</v>
      </c>
      <c r="CB24" s="7"/>
    </row>
    <row r="25" spans="1:80" ht="12.75" customHeight="1" x14ac:dyDescent="0.35">
      <c r="A25" s="909" t="s">
        <v>113</v>
      </c>
      <c r="B25" s="61">
        <v>5033.47</v>
      </c>
      <c r="C25" s="62">
        <f t="shared" si="0"/>
        <v>9714.3464989999993</v>
      </c>
      <c r="D25" s="63">
        <v>2</v>
      </c>
      <c r="E25" s="62">
        <f>$C25*D25</f>
        <v>19428.692997999999</v>
      </c>
      <c r="F25" s="64">
        <f t="shared" si="1"/>
        <v>0</v>
      </c>
      <c r="G25" s="63">
        <f t="shared" si="2"/>
        <v>2</v>
      </c>
      <c r="H25" s="62">
        <f>$C25*G25</f>
        <v>19428.692997999999</v>
      </c>
      <c r="I25" s="64">
        <f>H25*6</f>
        <v>116572.15798799999</v>
      </c>
      <c r="J25" s="63">
        <f t="shared" si="4"/>
        <v>2</v>
      </c>
      <c r="K25" s="62">
        <f t="shared" si="5"/>
        <v>19428.692997999999</v>
      </c>
      <c r="L25" s="64">
        <f t="shared" si="6"/>
        <v>233144.31597599998</v>
      </c>
      <c r="M25" s="63">
        <f t="shared" si="7"/>
        <v>2</v>
      </c>
      <c r="N25" s="62">
        <f t="shared" si="133"/>
        <v>19428.692997999999</v>
      </c>
      <c r="O25" s="64">
        <f t="shared" si="134"/>
        <v>233144.31597599998</v>
      </c>
      <c r="P25" s="63">
        <f t="shared" si="10"/>
        <v>2</v>
      </c>
      <c r="Q25" s="62">
        <f t="shared" si="135"/>
        <v>19428.692997999999</v>
      </c>
      <c r="R25" s="64">
        <f t="shared" si="136"/>
        <v>233144.31597599998</v>
      </c>
      <c r="S25" s="63">
        <f t="shared" si="149"/>
        <v>2</v>
      </c>
      <c r="T25" s="62">
        <f t="shared" si="137"/>
        <v>19428.692997999999</v>
      </c>
      <c r="U25" s="64">
        <f t="shared" si="138"/>
        <v>233144.31597599998</v>
      </c>
      <c r="V25" s="63">
        <f t="shared" si="15"/>
        <v>2</v>
      </c>
      <c r="W25" s="62">
        <f t="shared" si="16"/>
        <v>19428.692997999999</v>
      </c>
      <c r="X25" s="64">
        <f t="shared" si="17"/>
        <v>233144.31597599998</v>
      </c>
      <c r="Y25" s="63">
        <f t="shared" si="18"/>
        <v>2</v>
      </c>
      <c r="Z25" s="62">
        <f t="shared" si="19"/>
        <v>19428.692997999999</v>
      </c>
      <c r="AA25" s="64">
        <f t="shared" si="20"/>
        <v>233144.31597599998</v>
      </c>
      <c r="AB25" s="63">
        <f t="shared" si="21"/>
        <v>2</v>
      </c>
      <c r="AC25" s="62">
        <f t="shared" si="22"/>
        <v>19428.692997999999</v>
      </c>
      <c r="AD25" s="64">
        <f t="shared" si="23"/>
        <v>233144.31597599998</v>
      </c>
      <c r="AE25" s="63">
        <v>3</v>
      </c>
      <c r="AF25" s="62">
        <f t="shared" si="25"/>
        <v>29143.039496999998</v>
      </c>
      <c r="AG25" s="64">
        <f t="shared" si="26"/>
        <v>349716.473964</v>
      </c>
      <c r="AH25" s="63">
        <f>AE25</f>
        <v>3</v>
      </c>
      <c r="AI25" s="62">
        <f t="shared" si="27"/>
        <v>29143.039496999998</v>
      </c>
      <c r="AJ25" s="64">
        <f t="shared" si="28"/>
        <v>349716.473964</v>
      </c>
      <c r="AK25" s="63">
        <f t="shared" si="29"/>
        <v>3</v>
      </c>
      <c r="AL25" s="62">
        <f t="shared" si="30"/>
        <v>29143.039496999998</v>
      </c>
      <c r="AM25" s="64">
        <f t="shared" si="31"/>
        <v>349716.473964</v>
      </c>
      <c r="AN25" s="63">
        <f t="shared" si="32"/>
        <v>3</v>
      </c>
      <c r="AO25" s="62">
        <f t="shared" si="33"/>
        <v>29143.039496999998</v>
      </c>
      <c r="AP25" s="64">
        <f t="shared" si="34"/>
        <v>349716.473964</v>
      </c>
      <c r="AQ25" s="63">
        <f t="shared" si="35"/>
        <v>3</v>
      </c>
      <c r="AR25" s="62">
        <f t="shared" si="36"/>
        <v>29143.039496999998</v>
      </c>
      <c r="AS25" s="64">
        <f t="shared" si="37"/>
        <v>349716.473964</v>
      </c>
      <c r="AT25" s="63">
        <f t="shared" si="38"/>
        <v>3</v>
      </c>
      <c r="AU25" s="62">
        <f t="shared" si="39"/>
        <v>29143.039496999998</v>
      </c>
      <c r="AV25" s="64">
        <f t="shared" si="40"/>
        <v>349716.473964</v>
      </c>
      <c r="AW25" s="63">
        <f>AT25</f>
        <v>3</v>
      </c>
      <c r="AX25" s="62">
        <f t="shared" si="41"/>
        <v>29143.039496999998</v>
      </c>
      <c r="AY25" s="64">
        <f t="shared" si="42"/>
        <v>349716.473964</v>
      </c>
      <c r="AZ25" s="63">
        <f t="shared" si="43"/>
        <v>3</v>
      </c>
      <c r="BA25" s="62">
        <f t="shared" si="44"/>
        <v>29143.039496999998</v>
      </c>
      <c r="BB25" s="64">
        <f t="shared" si="45"/>
        <v>349716.473964</v>
      </c>
      <c r="BC25" s="63">
        <f t="shared" si="46"/>
        <v>3</v>
      </c>
      <c r="BD25" s="62">
        <f t="shared" si="47"/>
        <v>29143.039496999998</v>
      </c>
      <c r="BE25" s="64">
        <f t="shared" si="48"/>
        <v>349716.473964</v>
      </c>
      <c r="BF25" s="63">
        <f t="shared" si="49"/>
        <v>3</v>
      </c>
      <c r="BG25" s="62">
        <f t="shared" si="50"/>
        <v>29143.039496999998</v>
      </c>
      <c r="BH25" s="64">
        <f t="shared" si="51"/>
        <v>349716.473964</v>
      </c>
      <c r="BI25" s="63">
        <f t="shared" si="52"/>
        <v>3</v>
      </c>
      <c r="BJ25" s="62">
        <f t="shared" si="53"/>
        <v>29143.039496999998</v>
      </c>
      <c r="BK25" s="64">
        <f t="shared" si="54"/>
        <v>349716.473964</v>
      </c>
      <c r="BL25" s="63">
        <f t="shared" si="55"/>
        <v>3</v>
      </c>
      <c r="BM25" s="62">
        <f t="shared" si="56"/>
        <v>29143.039496999998</v>
      </c>
      <c r="BN25" s="64">
        <f t="shared" si="57"/>
        <v>349716.473964</v>
      </c>
      <c r="BO25" s="63">
        <f t="shared" si="58"/>
        <v>3</v>
      </c>
      <c r="BP25" s="62">
        <f t="shared" si="59"/>
        <v>29143.039496999998</v>
      </c>
      <c r="BQ25" s="64">
        <f t="shared" si="60"/>
        <v>349716.473964</v>
      </c>
      <c r="BR25" s="63">
        <f t="shared" si="61"/>
        <v>3</v>
      </c>
      <c r="BS25" s="62">
        <f t="shared" si="62"/>
        <v>29143.039496999998</v>
      </c>
      <c r="BT25" s="64">
        <f t="shared" si="63"/>
        <v>349716.473964</v>
      </c>
      <c r="BU25" s="63">
        <f t="shared" si="64"/>
        <v>3</v>
      </c>
      <c r="BV25" s="62">
        <f t="shared" si="65"/>
        <v>29143.039496999998</v>
      </c>
      <c r="BW25" s="64">
        <f t="shared" si="66"/>
        <v>349716.473964</v>
      </c>
      <c r="BX25" s="63">
        <f t="shared" si="67"/>
        <v>3</v>
      </c>
      <c r="BY25" s="62">
        <f t="shared" si="68"/>
        <v>29143.039496999998</v>
      </c>
      <c r="BZ25" s="65">
        <f>BY25*12</f>
        <v>349716.473964</v>
      </c>
      <c r="CA25" s="67">
        <f t="shared" si="70"/>
        <v>7344045.9532440016</v>
      </c>
      <c r="CB25" s="7"/>
    </row>
    <row r="26" spans="1:80" ht="16.5" customHeight="1" x14ac:dyDescent="0.3">
      <c r="A26" s="954" t="s">
        <v>114</v>
      </c>
      <c r="B26" s="955"/>
      <c r="C26" s="956"/>
      <c r="D26" s="910">
        <f t="shared" ref="D26:AI26" si="150">SUM(D10:D25)</f>
        <v>27</v>
      </c>
      <c r="E26" s="69">
        <f>SUM(E10:E25)</f>
        <v>406236.13307899999</v>
      </c>
      <c r="F26" s="69">
        <f t="shared" si="150"/>
        <v>0</v>
      </c>
      <c r="G26" s="68">
        <f t="shared" si="150"/>
        <v>27</v>
      </c>
      <c r="H26" s="69">
        <f>SUM(H10:H25)</f>
        <v>406236.13307899999</v>
      </c>
      <c r="I26" s="69">
        <f t="shared" si="150"/>
        <v>2437416.7984740003</v>
      </c>
      <c r="J26" s="68">
        <f t="shared" si="150"/>
        <v>27</v>
      </c>
      <c r="K26" s="69">
        <f t="shared" si="150"/>
        <v>406236.13307899999</v>
      </c>
      <c r="L26" s="69">
        <f t="shared" si="150"/>
        <v>4874833.5969480006</v>
      </c>
      <c r="M26" s="68">
        <f t="shared" si="150"/>
        <v>27</v>
      </c>
      <c r="N26" s="69">
        <f t="shared" si="150"/>
        <v>406236.13307899999</v>
      </c>
      <c r="O26" s="69">
        <f t="shared" si="150"/>
        <v>4874833.5969480006</v>
      </c>
      <c r="P26" s="68">
        <f t="shared" si="150"/>
        <v>27</v>
      </c>
      <c r="Q26" s="69">
        <f t="shared" si="150"/>
        <v>406236.13307899999</v>
      </c>
      <c r="R26" s="69">
        <f t="shared" si="150"/>
        <v>4874833.5969480006</v>
      </c>
      <c r="S26" s="68">
        <f t="shared" si="150"/>
        <v>27</v>
      </c>
      <c r="T26" s="69">
        <f t="shared" si="150"/>
        <v>406236.13307899999</v>
      </c>
      <c r="U26" s="69">
        <f t="shared" si="150"/>
        <v>4874833.5969480006</v>
      </c>
      <c r="V26" s="68">
        <f t="shared" si="150"/>
        <v>27</v>
      </c>
      <c r="W26" s="69">
        <f t="shared" si="150"/>
        <v>406236.13307899999</v>
      </c>
      <c r="X26" s="69">
        <f t="shared" si="150"/>
        <v>4874833.5969480006</v>
      </c>
      <c r="Y26" s="68">
        <f t="shared" si="150"/>
        <v>27</v>
      </c>
      <c r="Z26" s="69">
        <f t="shared" si="150"/>
        <v>406236.13307899999</v>
      </c>
      <c r="AA26" s="69">
        <f t="shared" si="150"/>
        <v>4874833.5969480006</v>
      </c>
      <c r="AB26" s="68">
        <f t="shared" si="150"/>
        <v>27</v>
      </c>
      <c r="AC26" s="69">
        <f t="shared" si="150"/>
        <v>406236.13307899999</v>
      </c>
      <c r="AD26" s="69">
        <f t="shared" si="150"/>
        <v>4874833.5969480006</v>
      </c>
      <c r="AE26" s="68">
        <f t="shared" si="150"/>
        <v>28</v>
      </c>
      <c r="AF26" s="69">
        <f t="shared" si="150"/>
        <v>415950.47957799997</v>
      </c>
      <c r="AG26" s="69">
        <f t="shared" si="150"/>
        <v>4991405.7549360003</v>
      </c>
      <c r="AH26" s="68">
        <f t="shared" si="150"/>
        <v>28</v>
      </c>
      <c r="AI26" s="69">
        <f t="shared" si="150"/>
        <v>415950.47957799997</v>
      </c>
      <c r="AJ26" s="69">
        <f t="shared" ref="AJ26:BO26" si="151">SUM(AJ10:AJ25)</f>
        <v>4991405.7549360003</v>
      </c>
      <c r="AK26" s="68">
        <f t="shared" si="151"/>
        <v>28</v>
      </c>
      <c r="AL26" s="69">
        <f t="shared" si="151"/>
        <v>415950.47957799997</v>
      </c>
      <c r="AM26" s="69">
        <f t="shared" si="151"/>
        <v>4991405.7549360003</v>
      </c>
      <c r="AN26" s="68">
        <f t="shared" si="151"/>
        <v>28</v>
      </c>
      <c r="AO26" s="69">
        <f t="shared" si="151"/>
        <v>415950.47957799997</v>
      </c>
      <c r="AP26" s="69">
        <f t="shared" si="151"/>
        <v>4991405.7549360003</v>
      </c>
      <c r="AQ26" s="68">
        <f t="shared" si="151"/>
        <v>29</v>
      </c>
      <c r="AR26" s="69">
        <f t="shared" si="151"/>
        <v>420092.59721199994</v>
      </c>
      <c r="AS26" s="69">
        <f t="shared" si="151"/>
        <v>5041111.1665440006</v>
      </c>
      <c r="AT26" s="68">
        <f t="shared" si="151"/>
        <v>29</v>
      </c>
      <c r="AU26" s="69">
        <f t="shared" si="151"/>
        <v>420092.59721199994</v>
      </c>
      <c r="AV26" s="69">
        <f t="shared" si="151"/>
        <v>5041111.1665440006</v>
      </c>
      <c r="AW26" s="68">
        <f t="shared" si="151"/>
        <v>29</v>
      </c>
      <c r="AX26" s="69">
        <f t="shared" si="151"/>
        <v>420092.59721199994</v>
      </c>
      <c r="AY26" s="69">
        <f t="shared" si="151"/>
        <v>5041111.1665440006</v>
      </c>
      <c r="AZ26" s="68">
        <f t="shared" si="151"/>
        <v>29</v>
      </c>
      <c r="BA26" s="69">
        <f t="shared" si="151"/>
        <v>420092.59721199994</v>
      </c>
      <c r="BB26" s="69">
        <f t="shared" si="151"/>
        <v>5041111.1665440006</v>
      </c>
      <c r="BC26" s="68">
        <f t="shared" si="151"/>
        <v>29</v>
      </c>
      <c r="BD26" s="69">
        <f t="shared" si="151"/>
        <v>420092.59721199994</v>
      </c>
      <c r="BE26" s="69">
        <f t="shared" si="151"/>
        <v>5041111.1665440006</v>
      </c>
      <c r="BF26" s="68">
        <f t="shared" si="151"/>
        <v>29</v>
      </c>
      <c r="BG26" s="69">
        <f t="shared" si="151"/>
        <v>420092.59721199994</v>
      </c>
      <c r="BH26" s="69">
        <f t="shared" si="151"/>
        <v>5041111.1665440006</v>
      </c>
      <c r="BI26" s="68">
        <f t="shared" si="151"/>
        <v>29</v>
      </c>
      <c r="BJ26" s="69">
        <f t="shared" si="151"/>
        <v>420092.59721199994</v>
      </c>
      <c r="BK26" s="69">
        <f t="shared" si="151"/>
        <v>5041111.1665440006</v>
      </c>
      <c r="BL26" s="68">
        <f t="shared" si="151"/>
        <v>29</v>
      </c>
      <c r="BM26" s="69">
        <f t="shared" si="151"/>
        <v>420092.59721199994</v>
      </c>
      <c r="BN26" s="69">
        <f t="shared" si="151"/>
        <v>5041111.1665440006</v>
      </c>
      <c r="BO26" s="68">
        <f t="shared" si="151"/>
        <v>29</v>
      </c>
      <c r="BP26" s="69">
        <f t="shared" ref="BP26:BY26" si="152">SUM(BP10:BP25)</f>
        <v>420092.59721199994</v>
      </c>
      <c r="BQ26" s="69">
        <f t="shared" si="152"/>
        <v>5041111.1665440006</v>
      </c>
      <c r="BR26" s="68">
        <f t="shared" si="152"/>
        <v>29</v>
      </c>
      <c r="BS26" s="69">
        <f t="shared" si="152"/>
        <v>420092.59721199994</v>
      </c>
      <c r="BT26" s="69">
        <f t="shared" si="152"/>
        <v>5041111.1665440006</v>
      </c>
      <c r="BU26" s="68">
        <f t="shared" si="152"/>
        <v>29</v>
      </c>
      <c r="BV26" s="69">
        <f t="shared" si="152"/>
        <v>420092.59721199994</v>
      </c>
      <c r="BW26" s="69">
        <f t="shared" si="152"/>
        <v>5041111.1665440006</v>
      </c>
      <c r="BX26" s="68">
        <f t="shared" si="152"/>
        <v>29</v>
      </c>
      <c r="BY26" s="69">
        <f t="shared" si="152"/>
        <v>420092.59721199994</v>
      </c>
      <c r="BZ26" s="69">
        <f>SUM(BZ10:BZ25)</f>
        <v>5041111.1665440006</v>
      </c>
      <c r="CA26" s="70">
        <f t="shared" si="70"/>
        <v>117020208.99538206</v>
      </c>
      <c r="CB26" s="7"/>
    </row>
    <row r="27" spans="1:80" ht="18.75" customHeight="1" x14ac:dyDescent="0.35">
      <c r="A27" s="71"/>
      <c r="B27" s="911">
        <f>SUM(B10:B25)</f>
        <v>193818.54</v>
      </c>
      <c r="C27" s="911">
        <f>SUM(C10:C25)</f>
        <v>345937.59871799999</v>
      </c>
      <c r="D27" s="73"/>
      <c r="E27" s="72"/>
      <c r="F27" s="74"/>
      <c r="G27" s="73"/>
      <c r="H27" s="72"/>
      <c r="I27" s="74"/>
      <c r="J27" s="73"/>
      <c r="K27" s="72"/>
      <c r="L27" s="74"/>
      <c r="M27" s="73"/>
      <c r="N27" s="72"/>
      <c r="O27" s="74"/>
      <c r="P27" s="73"/>
      <c r="Q27" s="72"/>
      <c r="R27" s="74"/>
      <c r="S27" s="73"/>
      <c r="T27" s="72"/>
      <c r="U27" s="74"/>
      <c r="V27" s="73"/>
      <c r="W27" s="72"/>
      <c r="X27" s="74"/>
      <c r="Y27" s="73"/>
      <c r="Z27" s="72"/>
      <c r="AA27" s="74"/>
      <c r="AB27" s="73"/>
      <c r="AC27" s="72"/>
      <c r="AD27" s="74"/>
      <c r="AE27" s="73"/>
      <c r="AF27" s="72"/>
      <c r="AG27" s="74"/>
      <c r="AH27" s="73"/>
      <c r="AI27" s="72"/>
      <c r="AJ27" s="74"/>
      <c r="AK27" s="75"/>
      <c r="AL27" s="72"/>
      <c r="AM27" s="74"/>
      <c r="AN27" s="75"/>
      <c r="AO27" s="72"/>
      <c r="AP27" s="74"/>
      <c r="AQ27" s="75"/>
      <c r="AR27" s="72"/>
      <c r="AS27" s="74"/>
      <c r="AT27" s="75"/>
      <c r="AU27" s="72"/>
      <c r="AV27" s="74"/>
      <c r="AW27" s="73"/>
      <c r="AX27" s="72"/>
      <c r="AY27" s="74"/>
      <c r="AZ27" s="73"/>
      <c r="BA27" s="72"/>
      <c r="BB27" s="74"/>
      <c r="BC27" s="73"/>
      <c r="BD27" s="72"/>
      <c r="BE27" s="74"/>
      <c r="BF27" s="73"/>
      <c r="BG27" s="72"/>
      <c r="BH27" s="74"/>
      <c r="BI27" s="73"/>
      <c r="BJ27" s="72"/>
      <c r="BK27" s="74"/>
      <c r="BL27" s="73"/>
      <c r="BM27" s="72"/>
      <c r="BN27" s="74"/>
      <c r="BO27" s="73"/>
      <c r="BP27" s="72"/>
      <c r="BQ27" s="74"/>
      <c r="BR27" s="73"/>
      <c r="BS27" s="72"/>
      <c r="BT27" s="74"/>
      <c r="BU27" s="73"/>
      <c r="BV27" s="72"/>
      <c r="BW27" s="74"/>
      <c r="BX27" s="73"/>
      <c r="BY27" s="72"/>
      <c r="BZ27" s="74"/>
      <c r="CA27" s="76"/>
      <c r="CB27" s="7"/>
    </row>
    <row r="28" spans="1:80" ht="17.25" customHeight="1" x14ac:dyDescent="0.35">
      <c r="A28" s="77" t="s">
        <v>115</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78"/>
      <c r="CB28" s="7"/>
    </row>
    <row r="29" spans="1:80" ht="12.75" customHeight="1" x14ac:dyDescent="0.35">
      <c r="A29" s="60" t="s">
        <v>116</v>
      </c>
      <c r="B29" s="61">
        <v>4262.43</v>
      </c>
      <c r="C29" s="62">
        <f>B29+(B29)*$CB$8+$F$61</f>
        <v>8417.6885309999998</v>
      </c>
      <c r="D29" s="63">
        <v>1</v>
      </c>
      <c r="E29" s="62">
        <v>4262.43</v>
      </c>
      <c r="F29" s="64">
        <f>E29*12*0</f>
        <v>0</v>
      </c>
      <c r="G29" s="63">
        <f>D29</f>
        <v>1</v>
      </c>
      <c r="H29" s="62">
        <v>4262.43</v>
      </c>
      <c r="I29" s="64">
        <f>H29*6</f>
        <v>25574.58</v>
      </c>
      <c r="J29" s="63">
        <f>G29</f>
        <v>1</v>
      </c>
      <c r="K29" s="62">
        <f>$C29*J29</f>
        <v>8417.6885309999998</v>
      </c>
      <c r="L29" s="64">
        <f>K29*12</f>
        <v>101012.262372</v>
      </c>
      <c r="M29" s="63">
        <f>J29</f>
        <v>1</v>
      </c>
      <c r="N29" s="62">
        <f>$C29*M29</f>
        <v>8417.6885309999998</v>
      </c>
      <c r="O29" s="64">
        <f>N29*12</f>
        <v>101012.262372</v>
      </c>
      <c r="P29" s="63">
        <f>M29</f>
        <v>1</v>
      </c>
      <c r="Q29" s="62">
        <f>$C29*P29</f>
        <v>8417.6885309999998</v>
      </c>
      <c r="R29" s="64">
        <f>Q29*12</f>
        <v>101012.262372</v>
      </c>
      <c r="S29" s="63">
        <v>1</v>
      </c>
      <c r="T29" s="62">
        <f>$C29*S29</f>
        <v>8417.6885309999998</v>
      </c>
      <c r="U29" s="64">
        <f>T29*12</f>
        <v>101012.262372</v>
      </c>
      <c r="V29" s="63">
        <f>S29</f>
        <v>1</v>
      </c>
      <c r="W29" s="62">
        <f>$C29*V29</f>
        <v>8417.6885309999998</v>
      </c>
      <c r="X29" s="64">
        <f>W29*12</f>
        <v>101012.262372</v>
      </c>
      <c r="Y29" s="63">
        <f>V29</f>
        <v>1</v>
      </c>
      <c r="Z29" s="62">
        <f>$C29*Y29</f>
        <v>8417.6885309999998</v>
      </c>
      <c r="AA29" s="64">
        <f>Z29*12</f>
        <v>101012.262372</v>
      </c>
      <c r="AB29" s="63">
        <f>Y29</f>
        <v>1</v>
      </c>
      <c r="AC29" s="62">
        <f>$C29*AB29</f>
        <v>8417.6885309999998</v>
      </c>
      <c r="AD29" s="64">
        <f>AC29*12</f>
        <v>101012.262372</v>
      </c>
      <c r="AE29" s="63">
        <v>2</v>
      </c>
      <c r="AF29" s="62">
        <f>$C29*AE29</f>
        <v>16835.377062</v>
      </c>
      <c r="AG29" s="64">
        <f>AF29*12</f>
        <v>202024.52474399999</v>
      </c>
      <c r="AH29" s="63">
        <f>AE29</f>
        <v>2</v>
      </c>
      <c r="AI29" s="62">
        <f>$C29*AH29</f>
        <v>16835.377062</v>
      </c>
      <c r="AJ29" s="64">
        <f>AI29*12</f>
        <v>202024.52474399999</v>
      </c>
      <c r="AK29" s="63">
        <f>AH29</f>
        <v>2</v>
      </c>
      <c r="AL29" s="62">
        <f>$C29*AK29</f>
        <v>16835.377062</v>
      </c>
      <c r="AM29" s="64">
        <f>AL29*12</f>
        <v>202024.52474399999</v>
      </c>
      <c r="AN29" s="63">
        <f>AK29</f>
        <v>2</v>
      </c>
      <c r="AO29" s="62">
        <f>$C29*AN29</f>
        <v>16835.377062</v>
      </c>
      <c r="AP29" s="64">
        <f>AO29*12</f>
        <v>202024.52474399999</v>
      </c>
      <c r="AQ29" s="63">
        <f>AN29</f>
        <v>2</v>
      </c>
      <c r="AR29" s="62">
        <f>$C29*AQ29</f>
        <v>16835.377062</v>
      </c>
      <c r="AS29" s="64">
        <f>AR29*12</f>
        <v>202024.52474399999</v>
      </c>
      <c r="AT29" s="63">
        <v>3</v>
      </c>
      <c r="AU29" s="62">
        <f>$C29*AT29</f>
        <v>25253.065592999999</v>
      </c>
      <c r="AV29" s="64">
        <f>AU29*12</f>
        <v>303036.78711599996</v>
      </c>
      <c r="AW29" s="63">
        <f>AT29</f>
        <v>3</v>
      </c>
      <c r="AX29" s="62">
        <f>$C29*AW29</f>
        <v>25253.065592999999</v>
      </c>
      <c r="AY29" s="64">
        <f>AX29*12</f>
        <v>303036.78711599996</v>
      </c>
      <c r="AZ29" s="63">
        <f>AW29</f>
        <v>3</v>
      </c>
      <c r="BA29" s="62">
        <f>$C29*AZ29</f>
        <v>25253.065592999999</v>
      </c>
      <c r="BB29" s="64">
        <f>BA29*12</f>
        <v>303036.78711599996</v>
      </c>
      <c r="BC29" s="63">
        <f>AZ29</f>
        <v>3</v>
      </c>
      <c r="BD29" s="62">
        <f>$C29*BC29</f>
        <v>25253.065592999999</v>
      </c>
      <c r="BE29" s="64">
        <f>BD29*12</f>
        <v>303036.78711599996</v>
      </c>
      <c r="BF29" s="63">
        <f>BC29</f>
        <v>3</v>
      </c>
      <c r="BG29" s="62">
        <f>$C29*BF29</f>
        <v>25253.065592999999</v>
      </c>
      <c r="BH29" s="64">
        <f>BG29*12</f>
        <v>303036.78711599996</v>
      </c>
      <c r="BI29" s="63">
        <f>BF29</f>
        <v>3</v>
      </c>
      <c r="BJ29" s="62">
        <f>$C29*BI29</f>
        <v>25253.065592999999</v>
      </c>
      <c r="BK29" s="64">
        <f>BJ29*12</f>
        <v>303036.78711599996</v>
      </c>
      <c r="BL29" s="63">
        <f>BI29</f>
        <v>3</v>
      </c>
      <c r="BM29" s="62">
        <f>$C29*BL29</f>
        <v>25253.065592999999</v>
      </c>
      <c r="BN29" s="64">
        <f>BM29*12</f>
        <v>303036.78711599996</v>
      </c>
      <c r="BO29" s="63">
        <f>BL29</f>
        <v>3</v>
      </c>
      <c r="BP29" s="62">
        <f>$C29*BO29</f>
        <v>25253.065592999999</v>
      </c>
      <c r="BQ29" s="64">
        <f>BP29*12</f>
        <v>303036.78711599996</v>
      </c>
      <c r="BR29" s="63">
        <f>BO29</f>
        <v>3</v>
      </c>
      <c r="BS29" s="62">
        <f>$C29*BR29</f>
        <v>25253.065592999999</v>
      </c>
      <c r="BT29" s="64">
        <f>BS29*12</f>
        <v>303036.78711599996</v>
      </c>
      <c r="BU29" s="63">
        <f>BR29</f>
        <v>3</v>
      </c>
      <c r="BV29" s="62">
        <f>$C29*BU29</f>
        <v>25253.065592999999</v>
      </c>
      <c r="BW29" s="64">
        <f>BV29*12</f>
        <v>303036.78711599996</v>
      </c>
      <c r="BX29" s="63">
        <f>BU29</f>
        <v>3</v>
      </c>
      <c r="BY29" s="62">
        <f>$C29*BX29</f>
        <v>25253.065592999999</v>
      </c>
      <c r="BZ29" s="65">
        <f>BY29*12</f>
        <v>303036.78711599996</v>
      </c>
      <c r="CA29" s="67">
        <f>F29+I29+L29+O29+R29+U29+X29+AA29+AD29+AG29+AJ29+AM29+AP29+AS29+AV29+AY29+BB29+BE29+BH29+BK29+BN29+BQ29+BT29+BW29+BZ29</f>
        <v>5076187.6986000016</v>
      </c>
      <c r="CB29" s="7"/>
    </row>
    <row r="30" spans="1:80" ht="16.5" customHeight="1" x14ac:dyDescent="0.3">
      <c r="A30" s="79" t="s">
        <v>117</v>
      </c>
      <c r="B30" s="80"/>
      <c r="C30" s="80"/>
      <c r="D30" s="68">
        <f t="shared" ref="D30:AI30" si="153">SUM(D29:D29)</f>
        <v>1</v>
      </c>
      <c r="E30" s="69">
        <f>SUM(E29:E29)</f>
        <v>4262.43</v>
      </c>
      <c r="F30" s="69">
        <f t="shared" si="153"/>
        <v>0</v>
      </c>
      <c r="G30" s="68">
        <f t="shared" si="153"/>
        <v>1</v>
      </c>
      <c r="H30" s="69">
        <f t="shared" si="153"/>
        <v>4262.43</v>
      </c>
      <c r="I30" s="69">
        <f t="shared" si="153"/>
        <v>25574.58</v>
      </c>
      <c r="J30" s="68">
        <f t="shared" si="153"/>
        <v>1</v>
      </c>
      <c r="K30" s="69">
        <f t="shared" si="153"/>
        <v>8417.6885309999998</v>
      </c>
      <c r="L30" s="69">
        <f t="shared" si="153"/>
        <v>101012.262372</v>
      </c>
      <c r="M30" s="68">
        <f t="shared" si="153"/>
        <v>1</v>
      </c>
      <c r="N30" s="69">
        <f t="shared" si="153"/>
        <v>8417.6885309999998</v>
      </c>
      <c r="O30" s="69">
        <f t="shared" si="153"/>
        <v>101012.262372</v>
      </c>
      <c r="P30" s="68">
        <f t="shared" si="153"/>
        <v>1</v>
      </c>
      <c r="Q30" s="69">
        <f t="shared" si="153"/>
        <v>8417.6885309999998</v>
      </c>
      <c r="R30" s="69">
        <f t="shared" si="153"/>
        <v>101012.262372</v>
      </c>
      <c r="S30" s="68">
        <f t="shared" si="153"/>
        <v>1</v>
      </c>
      <c r="T30" s="69">
        <f t="shared" si="153"/>
        <v>8417.6885309999998</v>
      </c>
      <c r="U30" s="69">
        <f t="shared" si="153"/>
        <v>101012.262372</v>
      </c>
      <c r="V30" s="68">
        <f t="shared" si="153"/>
        <v>1</v>
      </c>
      <c r="W30" s="69">
        <f t="shared" si="153"/>
        <v>8417.6885309999998</v>
      </c>
      <c r="X30" s="69">
        <f t="shared" si="153"/>
        <v>101012.262372</v>
      </c>
      <c r="Y30" s="68">
        <f t="shared" si="153"/>
        <v>1</v>
      </c>
      <c r="Z30" s="69">
        <f t="shared" si="153"/>
        <v>8417.6885309999998</v>
      </c>
      <c r="AA30" s="69">
        <f t="shared" si="153"/>
        <v>101012.262372</v>
      </c>
      <c r="AB30" s="68">
        <f t="shared" si="153"/>
        <v>1</v>
      </c>
      <c r="AC30" s="69">
        <f t="shared" si="153"/>
        <v>8417.6885309999998</v>
      </c>
      <c r="AD30" s="69">
        <f t="shared" si="153"/>
        <v>101012.262372</v>
      </c>
      <c r="AE30" s="68">
        <f t="shared" si="153"/>
        <v>2</v>
      </c>
      <c r="AF30" s="69">
        <f t="shared" si="153"/>
        <v>16835.377062</v>
      </c>
      <c r="AG30" s="69">
        <f t="shared" si="153"/>
        <v>202024.52474399999</v>
      </c>
      <c r="AH30" s="68">
        <f t="shared" si="153"/>
        <v>2</v>
      </c>
      <c r="AI30" s="69">
        <f t="shared" si="153"/>
        <v>16835.377062</v>
      </c>
      <c r="AJ30" s="69">
        <f t="shared" ref="AJ30:BO30" si="154">SUM(AJ29:AJ29)</f>
        <v>202024.52474399999</v>
      </c>
      <c r="AK30" s="68">
        <f t="shared" si="154"/>
        <v>2</v>
      </c>
      <c r="AL30" s="69">
        <f t="shared" si="154"/>
        <v>16835.377062</v>
      </c>
      <c r="AM30" s="69">
        <f t="shared" si="154"/>
        <v>202024.52474399999</v>
      </c>
      <c r="AN30" s="68">
        <f t="shared" si="154"/>
        <v>2</v>
      </c>
      <c r="AO30" s="69">
        <f t="shared" si="154"/>
        <v>16835.377062</v>
      </c>
      <c r="AP30" s="69">
        <f t="shared" si="154"/>
        <v>202024.52474399999</v>
      </c>
      <c r="AQ30" s="68">
        <f t="shared" si="154"/>
        <v>2</v>
      </c>
      <c r="AR30" s="69">
        <f t="shared" si="154"/>
        <v>16835.377062</v>
      </c>
      <c r="AS30" s="69">
        <f t="shared" si="154"/>
        <v>202024.52474399999</v>
      </c>
      <c r="AT30" s="68">
        <f t="shared" si="154"/>
        <v>3</v>
      </c>
      <c r="AU30" s="69">
        <f t="shared" si="154"/>
        <v>25253.065592999999</v>
      </c>
      <c r="AV30" s="69">
        <f t="shared" si="154"/>
        <v>303036.78711599996</v>
      </c>
      <c r="AW30" s="68">
        <f t="shared" si="154"/>
        <v>3</v>
      </c>
      <c r="AX30" s="69">
        <f t="shared" si="154"/>
        <v>25253.065592999999</v>
      </c>
      <c r="AY30" s="69">
        <f t="shared" si="154"/>
        <v>303036.78711599996</v>
      </c>
      <c r="AZ30" s="68">
        <f t="shared" si="154"/>
        <v>3</v>
      </c>
      <c r="BA30" s="69">
        <f t="shared" si="154"/>
        <v>25253.065592999999</v>
      </c>
      <c r="BB30" s="69">
        <f t="shared" si="154"/>
        <v>303036.78711599996</v>
      </c>
      <c r="BC30" s="68">
        <f t="shared" si="154"/>
        <v>3</v>
      </c>
      <c r="BD30" s="69">
        <f t="shared" si="154"/>
        <v>25253.065592999999</v>
      </c>
      <c r="BE30" s="69">
        <f t="shared" si="154"/>
        <v>303036.78711599996</v>
      </c>
      <c r="BF30" s="68">
        <f t="shared" si="154"/>
        <v>3</v>
      </c>
      <c r="BG30" s="69">
        <f t="shared" si="154"/>
        <v>25253.065592999999</v>
      </c>
      <c r="BH30" s="69">
        <f t="shared" si="154"/>
        <v>303036.78711599996</v>
      </c>
      <c r="BI30" s="68">
        <f t="shared" si="154"/>
        <v>3</v>
      </c>
      <c r="BJ30" s="69">
        <f t="shared" si="154"/>
        <v>25253.065592999999</v>
      </c>
      <c r="BK30" s="69">
        <f t="shared" si="154"/>
        <v>303036.78711599996</v>
      </c>
      <c r="BL30" s="68">
        <f t="shared" si="154"/>
        <v>3</v>
      </c>
      <c r="BM30" s="69">
        <f t="shared" si="154"/>
        <v>25253.065592999999</v>
      </c>
      <c r="BN30" s="69">
        <f t="shared" si="154"/>
        <v>303036.78711599996</v>
      </c>
      <c r="BO30" s="68">
        <f t="shared" si="154"/>
        <v>3</v>
      </c>
      <c r="BP30" s="69">
        <f t="shared" ref="BP30:BY30" si="155">SUM(BP29:BP29)</f>
        <v>25253.065592999999</v>
      </c>
      <c r="BQ30" s="69">
        <f t="shared" si="155"/>
        <v>303036.78711599996</v>
      </c>
      <c r="BR30" s="68">
        <f t="shared" si="155"/>
        <v>3</v>
      </c>
      <c r="BS30" s="69">
        <f t="shared" si="155"/>
        <v>25253.065592999999</v>
      </c>
      <c r="BT30" s="69">
        <f t="shared" si="155"/>
        <v>303036.78711599996</v>
      </c>
      <c r="BU30" s="68">
        <f t="shared" si="155"/>
        <v>3</v>
      </c>
      <c r="BV30" s="69">
        <f t="shared" si="155"/>
        <v>25253.065592999999</v>
      </c>
      <c r="BW30" s="69">
        <f t="shared" si="155"/>
        <v>303036.78711599996</v>
      </c>
      <c r="BX30" s="68">
        <f t="shared" si="155"/>
        <v>3</v>
      </c>
      <c r="BY30" s="69">
        <f t="shared" si="155"/>
        <v>25253.065592999999</v>
      </c>
      <c r="BZ30" s="69">
        <f>SUM(BZ29:BZ29)</f>
        <v>303036.78711599996</v>
      </c>
      <c r="CA30" s="81">
        <f>F30+I30+L30+O30+R30+U30+X30+AA30+AD30+AG30+AJ30+AM30+AP30+AS30+AV30+AY30+BB30+BE30+BH30+BK30+BN30+BQ30+BT30+BW30+BZ30</f>
        <v>5076187.6986000016</v>
      </c>
      <c r="CB30" s="7"/>
    </row>
    <row r="31" spans="1:80" ht="21" customHeight="1" x14ac:dyDescent="0.35">
      <c r="A31" s="82"/>
      <c r="B31" s="72"/>
      <c r="C31" s="72"/>
      <c r="D31" s="73"/>
      <c r="E31" s="72"/>
      <c r="F31" s="74"/>
      <c r="G31" s="73"/>
      <c r="H31" s="72"/>
      <c r="I31" s="74"/>
      <c r="J31" s="73"/>
      <c r="K31" s="72"/>
      <c r="L31" s="74"/>
      <c r="M31" s="73"/>
      <c r="N31" s="72"/>
      <c r="O31" s="74"/>
      <c r="P31" s="73"/>
      <c r="Q31" s="72"/>
      <c r="R31" s="74"/>
      <c r="S31" s="73"/>
      <c r="T31" s="72"/>
      <c r="U31" s="74"/>
      <c r="V31" s="73"/>
      <c r="W31" s="72"/>
      <c r="X31" s="74"/>
      <c r="Y31" s="73"/>
      <c r="Z31" s="72"/>
      <c r="AA31" s="74"/>
      <c r="AB31" s="73"/>
      <c r="AC31" s="72"/>
      <c r="AD31" s="74"/>
      <c r="AE31" s="73"/>
      <c r="AF31" s="72"/>
      <c r="AG31" s="74"/>
      <c r="AH31" s="73"/>
      <c r="AI31" s="72"/>
      <c r="AJ31" s="74"/>
      <c r="AK31" s="75"/>
      <c r="AL31" s="72"/>
      <c r="AM31" s="74"/>
      <c r="AN31" s="75"/>
      <c r="AO31" s="72"/>
      <c r="AP31" s="74"/>
      <c r="AQ31" s="75"/>
      <c r="AR31" s="72"/>
      <c r="AS31" s="74"/>
      <c r="AT31" s="75"/>
      <c r="AU31" s="72"/>
      <c r="AV31" s="74"/>
      <c r="AW31" s="73"/>
      <c r="AX31" s="72"/>
      <c r="AY31" s="74"/>
      <c r="AZ31" s="73"/>
      <c r="BA31" s="72"/>
      <c r="BB31" s="74"/>
      <c r="BC31" s="73"/>
      <c r="BD31" s="72"/>
      <c r="BE31" s="74"/>
      <c r="BF31" s="73"/>
      <c r="BG31" s="72"/>
      <c r="BH31" s="74"/>
      <c r="BI31" s="73"/>
      <c r="BJ31" s="72"/>
      <c r="BK31" s="74"/>
      <c r="BL31" s="73"/>
      <c r="BM31" s="72"/>
      <c r="BN31" s="74"/>
      <c r="BO31" s="73"/>
      <c r="BP31" s="72"/>
      <c r="BQ31" s="74"/>
      <c r="BR31" s="73"/>
      <c r="BS31" s="72"/>
      <c r="BT31" s="74"/>
      <c r="BU31" s="73"/>
      <c r="BV31" s="72"/>
      <c r="BW31" s="74"/>
      <c r="BX31" s="73"/>
      <c r="BY31" s="72"/>
      <c r="BZ31" s="83"/>
      <c r="CA31" s="84"/>
      <c r="CB31" s="7"/>
    </row>
    <row r="32" spans="1:80" ht="17.25" customHeight="1" x14ac:dyDescent="0.35">
      <c r="A32" s="77" t="s">
        <v>118</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78"/>
      <c r="CB32" s="7"/>
    </row>
    <row r="33" spans="1:79" ht="12.75" customHeight="1" x14ac:dyDescent="0.35">
      <c r="A33" s="790" t="s">
        <v>119</v>
      </c>
      <c r="B33" s="61">
        <v>3943.93</v>
      </c>
      <c r="C33" s="62">
        <f>B33+(B33)*$CB$8+$F$61</f>
        <v>7882.0670810000001</v>
      </c>
      <c r="D33" s="63">
        <v>1</v>
      </c>
      <c r="E33" s="62">
        <f>$C33*D33</f>
        <v>7882.0670810000001</v>
      </c>
      <c r="F33" s="64">
        <f>E33*12*0</f>
        <v>0</v>
      </c>
      <c r="G33" s="63">
        <f>D33</f>
        <v>1</v>
      </c>
      <c r="H33" s="62">
        <f>$C33*G33</f>
        <v>7882.0670810000001</v>
      </c>
      <c r="I33" s="64">
        <f>H33*6</f>
        <v>47292.402485999999</v>
      </c>
      <c r="J33" s="63">
        <f>G33</f>
        <v>1</v>
      </c>
      <c r="K33" s="62">
        <f>$C33*J33</f>
        <v>7882.0670810000001</v>
      </c>
      <c r="L33" s="64">
        <f>K33*12</f>
        <v>94584.804971999998</v>
      </c>
      <c r="M33" s="63">
        <f>J33</f>
        <v>1</v>
      </c>
      <c r="N33" s="62">
        <f>$C33*M33</f>
        <v>7882.0670810000001</v>
      </c>
      <c r="O33" s="64">
        <f>N33*12</f>
        <v>94584.804971999998</v>
      </c>
      <c r="P33" s="63">
        <f>M33</f>
        <v>1</v>
      </c>
      <c r="Q33" s="62">
        <f>$C33*P33</f>
        <v>7882.0670810000001</v>
      </c>
      <c r="R33" s="64">
        <f>Q33*12</f>
        <v>94584.804971999998</v>
      </c>
      <c r="S33" s="63">
        <v>1</v>
      </c>
      <c r="T33" s="62">
        <f>$C33*S33</f>
        <v>7882.0670810000001</v>
      </c>
      <c r="U33" s="64">
        <f>T33*12</f>
        <v>94584.804971999998</v>
      </c>
      <c r="V33" s="63">
        <f>S33</f>
        <v>1</v>
      </c>
      <c r="W33" s="62">
        <f>$C33*V33</f>
        <v>7882.0670810000001</v>
      </c>
      <c r="X33" s="64">
        <f>W33*12</f>
        <v>94584.804971999998</v>
      </c>
      <c r="Y33" s="63">
        <f>V33</f>
        <v>1</v>
      </c>
      <c r="Z33" s="62">
        <f>$C33*Y33</f>
        <v>7882.0670810000001</v>
      </c>
      <c r="AA33" s="64">
        <f>Z33*12</f>
        <v>94584.804971999998</v>
      </c>
      <c r="AB33" s="63">
        <f>Y33</f>
        <v>1</v>
      </c>
      <c r="AC33" s="62">
        <f>$C33*AB33</f>
        <v>7882.0670810000001</v>
      </c>
      <c r="AD33" s="64">
        <f>AC33*12</f>
        <v>94584.804971999998</v>
      </c>
      <c r="AE33" s="63">
        <v>2</v>
      </c>
      <c r="AF33" s="62">
        <f>$C33*AE33</f>
        <v>15764.134162</v>
      </c>
      <c r="AG33" s="64">
        <f>AF33*12</f>
        <v>189169.609944</v>
      </c>
      <c r="AH33" s="63">
        <v>2</v>
      </c>
      <c r="AI33" s="62">
        <f>$C33*AH33</f>
        <v>15764.134162</v>
      </c>
      <c r="AJ33" s="64">
        <f>AI33*12</f>
        <v>189169.609944</v>
      </c>
      <c r="AK33" s="63">
        <f>AH33</f>
        <v>2</v>
      </c>
      <c r="AL33" s="62">
        <f>$C33*AK33</f>
        <v>15764.134162</v>
      </c>
      <c r="AM33" s="64">
        <f>AL33*12</f>
        <v>189169.609944</v>
      </c>
      <c r="AN33" s="63">
        <f>AK33</f>
        <v>2</v>
      </c>
      <c r="AO33" s="62">
        <f>$C33*AN33</f>
        <v>15764.134162</v>
      </c>
      <c r="AP33" s="64">
        <f>AO33*12</f>
        <v>189169.609944</v>
      </c>
      <c r="AQ33" s="63">
        <f>AN33</f>
        <v>2</v>
      </c>
      <c r="AR33" s="62">
        <f>$C33*AQ33</f>
        <v>15764.134162</v>
      </c>
      <c r="AS33" s="64">
        <f>AR33*12</f>
        <v>189169.609944</v>
      </c>
      <c r="AT33" s="63">
        <f>AQ33</f>
        <v>2</v>
      </c>
      <c r="AU33" s="62">
        <f>$C33*AT33</f>
        <v>15764.134162</v>
      </c>
      <c r="AV33" s="64">
        <f>AU33*12</f>
        <v>189169.609944</v>
      </c>
      <c r="AW33" s="63">
        <f>AT33</f>
        <v>2</v>
      </c>
      <c r="AX33" s="62">
        <f>$C33*AW33</f>
        <v>15764.134162</v>
      </c>
      <c r="AY33" s="64">
        <f>AX33*12</f>
        <v>189169.609944</v>
      </c>
      <c r="AZ33" s="63">
        <f>AW33</f>
        <v>2</v>
      </c>
      <c r="BA33" s="62">
        <f>$C33*AZ33</f>
        <v>15764.134162</v>
      </c>
      <c r="BB33" s="64">
        <f>BA33*12</f>
        <v>189169.609944</v>
      </c>
      <c r="BC33" s="63">
        <f>AZ33</f>
        <v>2</v>
      </c>
      <c r="BD33" s="62">
        <f>$C33*BC33</f>
        <v>15764.134162</v>
      </c>
      <c r="BE33" s="64">
        <f>BD33*12</f>
        <v>189169.609944</v>
      </c>
      <c r="BF33" s="63">
        <f>BC33</f>
        <v>2</v>
      </c>
      <c r="BG33" s="62">
        <f>$C33*BF33</f>
        <v>15764.134162</v>
      </c>
      <c r="BH33" s="64">
        <f>BG33*12</f>
        <v>189169.609944</v>
      </c>
      <c r="BI33" s="63">
        <f>BF33</f>
        <v>2</v>
      </c>
      <c r="BJ33" s="62">
        <f>$C33*BI33</f>
        <v>15764.134162</v>
      </c>
      <c r="BK33" s="64">
        <f>BJ33*12</f>
        <v>189169.609944</v>
      </c>
      <c r="BL33" s="63">
        <f>BI33</f>
        <v>2</v>
      </c>
      <c r="BM33" s="62">
        <f>$C33*BL33</f>
        <v>15764.134162</v>
      </c>
      <c r="BN33" s="64">
        <f>BM33*12</f>
        <v>189169.609944</v>
      </c>
      <c r="BO33" s="63">
        <f>BL33</f>
        <v>2</v>
      </c>
      <c r="BP33" s="62">
        <f>$C33*BO33</f>
        <v>15764.134162</v>
      </c>
      <c r="BQ33" s="64">
        <f>BP33*12</f>
        <v>189169.609944</v>
      </c>
      <c r="BR33" s="63">
        <f>BO33</f>
        <v>2</v>
      </c>
      <c r="BS33" s="62">
        <f>$C33*BR33</f>
        <v>15764.134162</v>
      </c>
      <c r="BT33" s="64">
        <f>BS33*12</f>
        <v>189169.609944</v>
      </c>
      <c r="BU33" s="63">
        <f>BR33</f>
        <v>2</v>
      </c>
      <c r="BV33" s="62">
        <f>$C33*BU33</f>
        <v>15764.134162</v>
      </c>
      <c r="BW33" s="64">
        <f>BV33*12</f>
        <v>189169.609944</v>
      </c>
      <c r="BX33" s="63">
        <f>BU33</f>
        <v>2</v>
      </c>
      <c r="BY33" s="62">
        <f>$C33*BX33</f>
        <v>15764.134162</v>
      </c>
      <c r="BZ33" s="65">
        <f>BY33*12</f>
        <v>189169.609944</v>
      </c>
      <c r="CA33" s="67">
        <f>F33+I33+L33+O33+R33+U33+X33+AA33+AD33+AG33+AJ33+AM33+AP33+AS33+AV33+AY33+BB33+BE33+BH33+BK33+BN33+BQ33+BT33+BW33+BZ33</f>
        <v>3736099.7963939989</v>
      </c>
    </row>
    <row r="34" spans="1:79" ht="12.75" customHeight="1" x14ac:dyDescent="0.35">
      <c r="A34" s="790" t="s">
        <v>120</v>
      </c>
      <c r="B34" s="61">
        <v>1964.01</v>
      </c>
      <c r="C34" s="62">
        <f>B34+(B34)*$CB$8+$F$61</f>
        <v>4552.4356170000001</v>
      </c>
      <c r="D34" s="63">
        <v>1</v>
      </c>
      <c r="E34" s="62">
        <f>$C34*D34</f>
        <v>4552.4356170000001</v>
      </c>
      <c r="F34" s="64">
        <f>E34*12*0</f>
        <v>0</v>
      </c>
      <c r="G34" s="63">
        <f>D34</f>
        <v>1</v>
      </c>
      <c r="H34" s="62">
        <f>$C34*G34</f>
        <v>4552.4356170000001</v>
      </c>
      <c r="I34" s="64">
        <f>H34*4</f>
        <v>18209.742468</v>
      </c>
      <c r="J34" s="63">
        <f>G34</f>
        <v>1</v>
      </c>
      <c r="K34" s="62">
        <f>$C34*J34</f>
        <v>4552.4356170000001</v>
      </c>
      <c r="L34" s="64">
        <f>K34*12</f>
        <v>54629.227404000005</v>
      </c>
      <c r="M34" s="63">
        <f>J34</f>
        <v>1</v>
      </c>
      <c r="N34" s="62">
        <f>$C34*M34</f>
        <v>4552.4356170000001</v>
      </c>
      <c r="O34" s="64">
        <f>N34*12</f>
        <v>54629.227404000005</v>
      </c>
      <c r="P34" s="63">
        <f>M34</f>
        <v>1</v>
      </c>
      <c r="Q34" s="62">
        <f>$C34*P34</f>
        <v>4552.4356170000001</v>
      </c>
      <c r="R34" s="64">
        <f>Q34*12</f>
        <v>54629.227404000005</v>
      </c>
      <c r="S34" s="63">
        <v>1</v>
      </c>
      <c r="T34" s="62">
        <f>$C34*S34</f>
        <v>4552.4356170000001</v>
      </c>
      <c r="U34" s="64">
        <f>T34*12</f>
        <v>54629.227404000005</v>
      </c>
      <c r="V34" s="63">
        <f>S34</f>
        <v>1</v>
      </c>
      <c r="W34" s="62">
        <f>$C34*V34</f>
        <v>4552.4356170000001</v>
      </c>
      <c r="X34" s="64">
        <f>W34*12</f>
        <v>54629.227404000005</v>
      </c>
      <c r="Y34" s="63">
        <f>V34</f>
        <v>1</v>
      </c>
      <c r="Z34" s="62">
        <f>$C34*Y34</f>
        <v>4552.4356170000001</v>
      </c>
      <c r="AA34" s="64">
        <f>Z34*12</f>
        <v>54629.227404000005</v>
      </c>
      <c r="AB34" s="63">
        <f>Y34</f>
        <v>1</v>
      </c>
      <c r="AC34" s="62">
        <f>$C34*AB34</f>
        <v>4552.4356170000001</v>
      </c>
      <c r="AD34" s="64">
        <f>AC34*12</f>
        <v>54629.227404000005</v>
      </c>
      <c r="AE34" s="63">
        <v>2</v>
      </c>
      <c r="AF34" s="62">
        <f>$C34*AE34</f>
        <v>9104.8712340000002</v>
      </c>
      <c r="AG34" s="64">
        <f>AF34*12</f>
        <v>109258.45480800001</v>
      </c>
      <c r="AH34" s="63">
        <v>2</v>
      </c>
      <c r="AI34" s="62">
        <f>$C34*AH34</f>
        <v>9104.8712340000002</v>
      </c>
      <c r="AJ34" s="64">
        <f>AI34*12</f>
        <v>109258.45480800001</v>
      </c>
      <c r="AK34" s="63">
        <f>AH34</f>
        <v>2</v>
      </c>
      <c r="AL34" s="62">
        <f>$C34*AK34</f>
        <v>9104.8712340000002</v>
      </c>
      <c r="AM34" s="64">
        <f>AL34*12</f>
        <v>109258.45480800001</v>
      </c>
      <c r="AN34" s="63">
        <f>AK34</f>
        <v>2</v>
      </c>
      <c r="AO34" s="62">
        <f>$C34*AN34</f>
        <v>9104.8712340000002</v>
      </c>
      <c r="AP34" s="64">
        <f>AO34*12</f>
        <v>109258.45480800001</v>
      </c>
      <c r="AQ34" s="63">
        <f>AN34</f>
        <v>2</v>
      </c>
      <c r="AR34" s="62">
        <f>$C34*AQ34</f>
        <v>9104.8712340000002</v>
      </c>
      <c r="AS34" s="64">
        <f>AR34*12</f>
        <v>109258.45480800001</v>
      </c>
      <c r="AT34" s="63">
        <f>AQ34</f>
        <v>2</v>
      </c>
      <c r="AU34" s="62">
        <f>$C34*AT34</f>
        <v>9104.8712340000002</v>
      </c>
      <c r="AV34" s="64">
        <f>AU34*12</f>
        <v>109258.45480800001</v>
      </c>
      <c r="AW34" s="63">
        <f>AT34</f>
        <v>2</v>
      </c>
      <c r="AX34" s="62">
        <f>$C34*AW34</f>
        <v>9104.8712340000002</v>
      </c>
      <c r="AY34" s="64">
        <f>AX34*12</f>
        <v>109258.45480800001</v>
      </c>
      <c r="AZ34" s="63">
        <f>AW34</f>
        <v>2</v>
      </c>
      <c r="BA34" s="62">
        <f>$C34*AZ34</f>
        <v>9104.8712340000002</v>
      </c>
      <c r="BB34" s="64">
        <f>BA34*12</f>
        <v>109258.45480800001</v>
      </c>
      <c r="BC34" s="63">
        <f>AZ34</f>
        <v>2</v>
      </c>
      <c r="BD34" s="62">
        <f>$C34*BC34</f>
        <v>9104.8712340000002</v>
      </c>
      <c r="BE34" s="64">
        <f>BD34*12</f>
        <v>109258.45480800001</v>
      </c>
      <c r="BF34" s="63">
        <f>BC34</f>
        <v>2</v>
      </c>
      <c r="BG34" s="62">
        <f>$C34*BF34</f>
        <v>9104.8712340000002</v>
      </c>
      <c r="BH34" s="64">
        <f>BG34*12</f>
        <v>109258.45480800001</v>
      </c>
      <c r="BI34" s="63">
        <f>BF34</f>
        <v>2</v>
      </c>
      <c r="BJ34" s="62">
        <f>$C34*BI34</f>
        <v>9104.8712340000002</v>
      </c>
      <c r="BK34" s="64">
        <f>BJ34*12</f>
        <v>109258.45480800001</v>
      </c>
      <c r="BL34" s="63">
        <f>BI34</f>
        <v>2</v>
      </c>
      <c r="BM34" s="62">
        <f>$C34*BL34</f>
        <v>9104.8712340000002</v>
      </c>
      <c r="BN34" s="64">
        <f>BM34*12</f>
        <v>109258.45480800001</v>
      </c>
      <c r="BO34" s="63">
        <f>BL34</f>
        <v>2</v>
      </c>
      <c r="BP34" s="62">
        <f>$C34*BO34</f>
        <v>9104.8712340000002</v>
      </c>
      <c r="BQ34" s="64">
        <f>BP34*12</f>
        <v>109258.45480800001</v>
      </c>
      <c r="BR34" s="63">
        <f>BO34</f>
        <v>2</v>
      </c>
      <c r="BS34" s="62">
        <f>$C34*BR34</f>
        <v>9104.8712340000002</v>
      </c>
      <c r="BT34" s="64">
        <f>BS34*12</f>
        <v>109258.45480800001</v>
      </c>
      <c r="BU34" s="63">
        <f>BR34</f>
        <v>2</v>
      </c>
      <c r="BV34" s="62">
        <f>$C34*BU34</f>
        <v>9104.8712340000002</v>
      </c>
      <c r="BW34" s="64">
        <f>BV34*12</f>
        <v>109258.45480800001</v>
      </c>
      <c r="BX34" s="63">
        <f>BU34</f>
        <v>2</v>
      </c>
      <c r="BY34" s="62">
        <f>$C34*BX34</f>
        <v>9104.8712340000002</v>
      </c>
      <c r="BZ34" s="65">
        <f>BY34*12</f>
        <v>109258.45480800001</v>
      </c>
      <c r="CA34" s="67">
        <f>F34+I34+L34+O34+R34+U34+X34+AA34+AD34+AG34+AJ34+AM34+AP34+AS34+AV34+AY34+BB34+BE34+BH34+BK34+BN34+BQ34+BT34+BW34+BZ34</f>
        <v>2148749.6112240003</v>
      </c>
    </row>
    <row r="35" spans="1:79" ht="16.5" customHeight="1" x14ac:dyDescent="0.3">
      <c r="A35" s="79" t="s">
        <v>121</v>
      </c>
      <c r="B35" s="80"/>
      <c r="C35" s="80"/>
      <c r="D35" s="68">
        <f t="shared" ref="D35:AI35" si="156">SUM(D33:D34)</f>
        <v>2</v>
      </c>
      <c r="E35" s="69">
        <f>SUM(E33:E34)</f>
        <v>12434.502698</v>
      </c>
      <c r="F35" s="69">
        <f t="shared" si="156"/>
        <v>0</v>
      </c>
      <c r="G35" s="68">
        <f t="shared" si="156"/>
        <v>2</v>
      </c>
      <c r="H35" s="69">
        <f t="shared" si="156"/>
        <v>12434.502698</v>
      </c>
      <c r="I35" s="69">
        <f t="shared" si="156"/>
        <v>65502.144954000003</v>
      </c>
      <c r="J35" s="68">
        <f t="shared" si="156"/>
        <v>2</v>
      </c>
      <c r="K35" s="69">
        <f t="shared" si="156"/>
        <v>12434.502698</v>
      </c>
      <c r="L35" s="69">
        <f t="shared" si="156"/>
        <v>149214.03237600002</v>
      </c>
      <c r="M35" s="68">
        <f t="shared" si="156"/>
        <v>2</v>
      </c>
      <c r="N35" s="69">
        <f t="shared" si="156"/>
        <v>12434.502698</v>
      </c>
      <c r="O35" s="69">
        <f t="shared" si="156"/>
        <v>149214.03237600002</v>
      </c>
      <c r="P35" s="68">
        <f t="shared" si="156"/>
        <v>2</v>
      </c>
      <c r="Q35" s="69">
        <f t="shared" si="156"/>
        <v>12434.502698</v>
      </c>
      <c r="R35" s="69">
        <f t="shared" si="156"/>
        <v>149214.03237600002</v>
      </c>
      <c r="S35" s="68">
        <f t="shared" si="156"/>
        <v>2</v>
      </c>
      <c r="T35" s="69">
        <f t="shared" si="156"/>
        <v>12434.502698</v>
      </c>
      <c r="U35" s="69">
        <f t="shared" si="156"/>
        <v>149214.03237600002</v>
      </c>
      <c r="V35" s="68">
        <f t="shared" si="156"/>
        <v>2</v>
      </c>
      <c r="W35" s="69">
        <f t="shared" si="156"/>
        <v>12434.502698</v>
      </c>
      <c r="X35" s="69">
        <f t="shared" si="156"/>
        <v>149214.03237600002</v>
      </c>
      <c r="Y35" s="68">
        <f t="shared" si="156"/>
        <v>2</v>
      </c>
      <c r="Z35" s="69">
        <f t="shared" si="156"/>
        <v>12434.502698</v>
      </c>
      <c r="AA35" s="69">
        <f t="shared" si="156"/>
        <v>149214.03237600002</v>
      </c>
      <c r="AB35" s="68">
        <f t="shared" si="156"/>
        <v>2</v>
      </c>
      <c r="AC35" s="69">
        <f t="shared" si="156"/>
        <v>12434.502698</v>
      </c>
      <c r="AD35" s="69">
        <f t="shared" si="156"/>
        <v>149214.03237600002</v>
      </c>
      <c r="AE35" s="68">
        <f t="shared" si="156"/>
        <v>4</v>
      </c>
      <c r="AF35" s="69">
        <f t="shared" si="156"/>
        <v>24869.005396</v>
      </c>
      <c r="AG35" s="69">
        <f t="shared" si="156"/>
        <v>298428.06475200003</v>
      </c>
      <c r="AH35" s="68">
        <f t="shared" si="156"/>
        <v>4</v>
      </c>
      <c r="AI35" s="69">
        <f t="shared" si="156"/>
        <v>24869.005396</v>
      </c>
      <c r="AJ35" s="69">
        <f t="shared" ref="AJ35:BO35" si="157">SUM(AJ33:AJ34)</f>
        <v>298428.06475200003</v>
      </c>
      <c r="AK35" s="68">
        <f t="shared" si="157"/>
        <v>4</v>
      </c>
      <c r="AL35" s="69">
        <f t="shared" si="157"/>
        <v>24869.005396</v>
      </c>
      <c r="AM35" s="69">
        <f t="shared" si="157"/>
        <v>298428.06475200003</v>
      </c>
      <c r="AN35" s="68">
        <f t="shared" si="157"/>
        <v>4</v>
      </c>
      <c r="AO35" s="69">
        <f t="shared" si="157"/>
        <v>24869.005396</v>
      </c>
      <c r="AP35" s="69">
        <f t="shared" si="157"/>
        <v>298428.06475200003</v>
      </c>
      <c r="AQ35" s="68">
        <f t="shared" si="157"/>
        <v>4</v>
      </c>
      <c r="AR35" s="69">
        <f t="shared" si="157"/>
        <v>24869.005396</v>
      </c>
      <c r="AS35" s="69">
        <f t="shared" si="157"/>
        <v>298428.06475200003</v>
      </c>
      <c r="AT35" s="68">
        <f t="shared" si="157"/>
        <v>4</v>
      </c>
      <c r="AU35" s="69">
        <f t="shared" si="157"/>
        <v>24869.005396</v>
      </c>
      <c r="AV35" s="69">
        <f t="shared" si="157"/>
        <v>298428.06475200003</v>
      </c>
      <c r="AW35" s="68">
        <f t="shared" si="157"/>
        <v>4</v>
      </c>
      <c r="AX35" s="69">
        <f t="shared" si="157"/>
        <v>24869.005396</v>
      </c>
      <c r="AY35" s="69">
        <f t="shared" si="157"/>
        <v>298428.06475200003</v>
      </c>
      <c r="AZ35" s="68">
        <f t="shared" si="157"/>
        <v>4</v>
      </c>
      <c r="BA35" s="69">
        <f t="shared" si="157"/>
        <v>24869.005396</v>
      </c>
      <c r="BB35" s="69">
        <f t="shared" si="157"/>
        <v>298428.06475200003</v>
      </c>
      <c r="BC35" s="68">
        <f t="shared" si="157"/>
        <v>4</v>
      </c>
      <c r="BD35" s="69">
        <f t="shared" si="157"/>
        <v>24869.005396</v>
      </c>
      <c r="BE35" s="69">
        <f t="shared" si="157"/>
        <v>298428.06475200003</v>
      </c>
      <c r="BF35" s="68">
        <f t="shared" si="157"/>
        <v>4</v>
      </c>
      <c r="BG35" s="69">
        <f t="shared" si="157"/>
        <v>24869.005396</v>
      </c>
      <c r="BH35" s="69">
        <f t="shared" si="157"/>
        <v>298428.06475200003</v>
      </c>
      <c r="BI35" s="68">
        <f t="shared" si="157"/>
        <v>4</v>
      </c>
      <c r="BJ35" s="69">
        <f t="shared" si="157"/>
        <v>24869.005396</v>
      </c>
      <c r="BK35" s="69">
        <f t="shared" si="157"/>
        <v>298428.06475200003</v>
      </c>
      <c r="BL35" s="68">
        <f t="shared" si="157"/>
        <v>4</v>
      </c>
      <c r="BM35" s="69">
        <f t="shared" si="157"/>
        <v>24869.005396</v>
      </c>
      <c r="BN35" s="69">
        <f t="shared" si="157"/>
        <v>298428.06475200003</v>
      </c>
      <c r="BO35" s="68">
        <f t="shared" si="157"/>
        <v>4</v>
      </c>
      <c r="BP35" s="69">
        <f t="shared" ref="BP35:BY35" si="158">SUM(BP33:BP34)</f>
        <v>24869.005396</v>
      </c>
      <c r="BQ35" s="69">
        <f t="shared" si="158"/>
        <v>298428.06475200003</v>
      </c>
      <c r="BR35" s="68">
        <f t="shared" si="158"/>
        <v>4</v>
      </c>
      <c r="BS35" s="69">
        <f t="shared" si="158"/>
        <v>24869.005396</v>
      </c>
      <c r="BT35" s="69">
        <f t="shared" si="158"/>
        <v>298428.06475200003</v>
      </c>
      <c r="BU35" s="68">
        <f t="shared" si="158"/>
        <v>4</v>
      </c>
      <c r="BV35" s="69">
        <f t="shared" si="158"/>
        <v>24869.005396</v>
      </c>
      <c r="BW35" s="69">
        <f t="shared" si="158"/>
        <v>298428.06475200003</v>
      </c>
      <c r="BX35" s="68">
        <f t="shared" si="158"/>
        <v>4</v>
      </c>
      <c r="BY35" s="69">
        <f t="shared" si="158"/>
        <v>24869.005396</v>
      </c>
      <c r="BZ35" s="69">
        <f>SUM(BZ33:BZ34)</f>
        <v>298428.06475200003</v>
      </c>
      <c r="CA35" s="81">
        <f>F35+I35+L35+O35+R35+U35+X35+AA35+AD35+AG35+AJ35+AM35+AP35+AS35+AV35+AY35+BB35+BE35+BH35+BK35+BN35+BQ35+BT35+BW35+BZ35</f>
        <v>5884849.4076180011</v>
      </c>
    </row>
    <row r="36" spans="1:79" ht="21" customHeight="1" x14ac:dyDescent="0.35">
      <c r="A36" s="82"/>
      <c r="B36" s="72"/>
      <c r="C36" s="72"/>
      <c r="D36" s="73"/>
      <c r="E36" s="72"/>
      <c r="F36" s="74"/>
      <c r="G36" s="73"/>
      <c r="H36" s="72"/>
      <c r="I36" s="74"/>
      <c r="J36" s="73"/>
      <c r="K36" s="72"/>
      <c r="L36" s="74"/>
      <c r="M36" s="73"/>
      <c r="N36" s="72"/>
      <c r="O36" s="74"/>
      <c r="P36" s="73"/>
      <c r="Q36" s="72"/>
      <c r="R36" s="74"/>
      <c r="S36" s="73"/>
      <c r="T36" s="72"/>
      <c r="U36" s="74"/>
      <c r="V36" s="73"/>
      <c r="W36" s="72"/>
      <c r="X36" s="74"/>
      <c r="Y36" s="73"/>
      <c r="Z36" s="72"/>
      <c r="AA36" s="74"/>
      <c r="AB36" s="73"/>
      <c r="AC36" s="72"/>
      <c r="AD36" s="74"/>
      <c r="AE36" s="73"/>
      <c r="AF36" s="72"/>
      <c r="AG36" s="74"/>
      <c r="AH36" s="73"/>
      <c r="AI36" s="72"/>
      <c r="AJ36" s="74"/>
      <c r="AK36" s="75"/>
      <c r="AL36" s="72"/>
      <c r="AM36" s="74"/>
      <c r="AN36" s="75"/>
      <c r="AO36" s="72"/>
      <c r="AP36" s="74"/>
      <c r="AQ36" s="75"/>
      <c r="AR36" s="72"/>
      <c r="AS36" s="74"/>
      <c r="AT36" s="75"/>
      <c r="AU36" s="72"/>
      <c r="AV36" s="74"/>
      <c r="AW36" s="73"/>
      <c r="AX36" s="72"/>
      <c r="AY36" s="74"/>
      <c r="AZ36" s="73"/>
      <c r="BA36" s="72"/>
      <c r="BB36" s="74"/>
      <c r="BC36" s="73"/>
      <c r="BD36" s="72"/>
      <c r="BE36" s="74"/>
      <c r="BF36" s="73"/>
      <c r="BG36" s="72"/>
      <c r="BH36" s="74"/>
      <c r="BI36" s="73"/>
      <c r="BJ36" s="72"/>
      <c r="BK36" s="74"/>
      <c r="BL36" s="73"/>
      <c r="BM36" s="72"/>
      <c r="BN36" s="74"/>
      <c r="BO36" s="73"/>
      <c r="BP36" s="72"/>
      <c r="BQ36" s="74"/>
      <c r="BR36" s="73"/>
      <c r="BS36" s="72"/>
      <c r="BT36" s="74"/>
      <c r="BU36" s="73"/>
      <c r="BV36" s="72"/>
      <c r="BW36" s="74"/>
      <c r="BX36" s="73"/>
      <c r="BY36" s="72"/>
      <c r="BZ36" s="74"/>
      <c r="CA36" s="76"/>
    </row>
    <row r="37" spans="1:79" ht="18" customHeight="1" x14ac:dyDescent="0.35">
      <c r="A37" s="85" t="s">
        <v>122</v>
      </c>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78"/>
    </row>
    <row r="38" spans="1:79" ht="12.75" customHeight="1" x14ac:dyDescent="0.35">
      <c r="A38" s="790" t="s">
        <v>123</v>
      </c>
      <c r="B38" s="61">
        <v>9912.4699999999993</v>
      </c>
      <c r="C38" s="62">
        <f t="shared" ref="C38:C45" si="159">B38+(B38*$F$62)+(B38+(B38*$F$62))*$CB$8+$F$61</f>
        <v>17919.360798999998</v>
      </c>
      <c r="D38" s="63">
        <v>1</v>
      </c>
      <c r="E38" s="62">
        <f t="shared" ref="E38:E45" si="160">$C38*D38</f>
        <v>17919.360798999998</v>
      </c>
      <c r="F38" s="64">
        <f t="shared" ref="F38:F45" si="161">E38*12*0</f>
        <v>0</v>
      </c>
      <c r="G38" s="63">
        <f t="shared" ref="G38:G45" si="162">D38</f>
        <v>1</v>
      </c>
      <c r="H38" s="62">
        <f t="shared" ref="H38:H45" si="163">$C38*G38</f>
        <v>17919.360798999998</v>
      </c>
      <c r="I38" s="64">
        <f t="shared" ref="I38:I45" si="164">H38*6</f>
        <v>107516.16479399998</v>
      </c>
      <c r="J38" s="63">
        <f t="shared" ref="J38:J45" si="165">G38</f>
        <v>1</v>
      </c>
      <c r="K38" s="62">
        <f t="shared" ref="K38:K45" si="166">$C38*J38</f>
        <v>17919.360798999998</v>
      </c>
      <c r="L38" s="64">
        <f t="shared" ref="L38:L45" si="167">K38*12</f>
        <v>215032.32958799996</v>
      </c>
      <c r="M38" s="63">
        <f t="shared" ref="M38:M45" si="168">J38</f>
        <v>1</v>
      </c>
      <c r="N38" s="62">
        <f t="shared" ref="N38:N45" si="169">$C38*M38</f>
        <v>17919.360798999998</v>
      </c>
      <c r="O38" s="64">
        <f t="shared" ref="O38:O45" si="170">N38*12</f>
        <v>215032.32958799996</v>
      </c>
      <c r="P38" s="63">
        <f t="shared" ref="P38:P45" si="171">M38</f>
        <v>1</v>
      </c>
      <c r="Q38" s="62">
        <f t="shared" ref="Q38:Q45" si="172">$C38*P38</f>
        <v>17919.360798999998</v>
      </c>
      <c r="R38" s="64">
        <f t="shared" ref="R38:R45" si="173">Q38*12</f>
        <v>215032.32958799996</v>
      </c>
      <c r="S38" s="63">
        <f>P38</f>
        <v>1</v>
      </c>
      <c r="T38" s="62">
        <f t="shared" ref="T38:T45" si="174">$C38*S38</f>
        <v>17919.360798999998</v>
      </c>
      <c r="U38" s="64">
        <f t="shared" ref="U38:U45" si="175">T38*12</f>
        <v>215032.32958799996</v>
      </c>
      <c r="V38" s="63">
        <f t="shared" ref="V38:V45" si="176">S38</f>
        <v>1</v>
      </c>
      <c r="W38" s="62">
        <f t="shared" ref="W38:W45" si="177">$C38*V38</f>
        <v>17919.360798999998</v>
      </c>
      <c r="X38" s="64">
        <f t="shared" ref="X38:X45" si="178">W38*12</f>
        <v>215032.32958799996</v>
      </c>
      <c r="Y38" s="63">
        <f t="shared" ref="Y38:Y45" si="179">V38</f>
        <v>1</v>
      </c>
      <c r="Z38" s="62">
        <f t="shared" ref="Z38:Z45" si="180">$C38*Y38</f>
        <v>17919.360798999998</v>
      </c>
      <c r="AA38" s="64">
        <f t="shared" ref="AA38:AA45" si="181">Z38*12</f>
        <v>215032.32958799996</v>
      </c>
      <c r="AB38" s="63">
        <f t="shared" ref="AB38:AB45" si="182">Y38</f>
        <v>1</v>
      </c>
      <c r="AC38" s="62">
        <f t="shared" ref="AC38:AC45" si="183">$C38*AB38</f>
        <v>17919.360798999998</v>
      </c>
      <c r="AD38" s="64">
        <f t="shared" ref="AD38:AD45" si="184">AC38*12</f>
        <v>215032.32958799996</v>
      </c>
      <c r="AE38" s="63">
        <f t="shared" ref="AE38:AE45" si="185">AB38</f>
        <v>1</v>
      </c>
      <c r="AF38" s="62">
        <f t="shared" ref="AF38:AF45" si="186">$C38*AE38</f>
        <v>17919.360798999998</v>
      </c>
      <c r="AG38" s="64">
        <f t="shared" ref="AG38:AG45" si="187">AF38*12</f>
        <v>215032.32958799996</v>
      </c>
      <c r="AH38" s="63">
        <v>1</v>
      </c>
      <c r="AI38" s="62">
        <f t="shared" ref="AI38:AI45" si="188">$C38*AH38</f>
        <v>17919.360798999998</v>
      </c>
      <c r="AJ38" s="64">
        <f t="shared" ref="AJ38:AJ45" si="189">AI38*12</f>
        <v>215032.32958799996</v>
      </c>
      <c r="AK38" s="63">
        <f t="shared" ref="AK38:AK45" si="190">AH38</f>
        <v>1</v>
      </c>
      <c r="AL38" s="62">
        <f t="shared" ref="AL38:AL45" si="191">$C38*AK38</f>
        <v>17919.360798999998</v>
      </c>
      <c r="AM38" s="64">
        <f t="shared" ref="AM38:AM45" si="192">AL38*12</f>
        <v>215032.32958799996</v>
      </c>
      <c r="AN38" s="63">
        <f t="shared" ref="AN38:AN45" si="193">AK38</f>
        <v>1</v>
      </c>
      <c r="AO38" s="62">
        <f t="shared" ref="AO38:AO45" si="194">$C38*AN38</f>
        <v>17919.360798999998</v>
      </c>
      <c r="AP38" s="64">
        <f t="shared" ref="AP38:AP45" si="195">AO38*12</f>
        <v>215032.32958799996</v>
      </c>
      <c r="AQ38" s="63">
        <f t="shared" ref="AQ38:AQ45" si="196">AN38</f>
        <v>1</v>
      </c>
      <c r="AR38" s="62">
        <f t="shared" ref="AR38:AR45" si="197">$C38*AQ38</f>
        <v>17919.360798999998</v>
      </c>
      <c r="AS38" s="64">
        <f t="shared" ref="AS38:AS45" si="198">AR38*12</f>
        <v>215032.32958799996</v>
      </c>
      <c r="AT38" s="63">
        <f t="shared" ref="AT38:AT45" si="199">AQ38</f>
        <v>1</v>
      </c>
      <c r="AU38" s="62">
        <f t="shared" ref="AU38:AU45" si="200">$C38*AT38</f>
        <v>17919.360798999998</v>
      </c>
      <c r="AV38" s="64">
        <f t="shared" ref="AV38:AV45" si="201">AU38*12</f>
        <v>215032.32958799996</v>
      </c>
      <c r="AW38" s="63">
        <v>1</v>
      </c>
      <c r="AX38" s="62">
        <f t="shared" ref="AX38:AX45" si="202">$C38*AW38</f>
        <v>17919.360798999998</v>
      </c>
      <c r="AY38" s="64">
        <f t="shared" ref="AY38:AY45" si="203">AX38*12</f>
        <v>215032.32958799996</v>
      </c>
      <c r="AZ38" s="63">
        <f t="shared" ref="AZ38:AZ45" si="204">AW38</f>
        <v>1</v>
      </c>
      <c r="BA38" s="62">
        <f t="shared" ref="BA38:BA45" si="205">$C38*AZ38</f>
        <v>17919.360798999998</v>
      </c>
      <c r="BB38" s="64">
        <f t="shared" ref="BB38:BB45" si="206">BA38*12</f>
        <v>215032.32958799996</v>
      </c>
      <c r="BC38" s="63">
        <f t="shared" ref="BC38:BC45" si="207">AZ38</f>
        <v>1</v>
      </c>
      <c r="BD38" s="62">
        <f t="shared" ref="BD38:BD45" si="208">$C38*BC38</f>
        <v>17919.360798999998</v>
      </c>
      <c r="BE38" s="64">
        <f t="shared" ref="BE38:BE45" si="209">BD38*12</f>
        <v>215032.32958799996</v>
      </c>
      <c r="BF38" s="63">
        <f t="shared" ref="BF38:BF45" si="210">BC38</f>
        <v>1</v>
      </c>
      <c r="BG38" s="62">
        <f t="shared" ref="BG38:BG45" si="211">$C38*BF38</f>
        <v>17919.360798999998</v>
      </c>
      <c r="BH38" s="64">
        <f t="shared" ref="BH38:BH45" si="212">BG38*12</f>
        <v>215032.32958799996</v>
      </c>
      <c r="BI38" s="63">
        <f t="shared" ref="BI38:BI45" si="213">BF38</f>
        <v>1</v>
      </c>
      <c r="BJ38" s="62">
        <f t="shared" ref="BJ38:BJ45" si="214">$C38*BI38</f>
        <v>17919.360798999998</v>
      </c>
      <c r="BK38" s="64">
        <f t="shared" ref="BK38:BK45" si="215">BJ38*12</f>
        <v>215032.32958799996</v>
      </c>
      <c r="BL38" s="63">
        <f t="shared" ref="BL38:BL45" si="216">BI38</f>
        <v>1</v>
      </c>
      <c r="BM38" s="62">
        <f t="shared" ref="BM38:BM45" si="217">$C38*BL38</f>
        <v>17919.360798999998</v>
      </c>
      <c r="BN38" s="64">
        <f t="shared" ref="BN38:BN45" si="218">BM38*12</f>
        <v>215032.32958799996</v>
      </c>
      <c r="BO38" s="63">
        <f t="shared" ref="BO38:BO45" si="219">BL38</f>
        <v>1</v>
      </c>
      <c r="BP38" s="62">
        <f t="shared" ref="BP38:BP45" si="220">$C38*BO38</f>
        <v>17919.360798999998</v>
      </c>
      <c r="BQ38" s="64">
        <f t="shared" ref="BQ38:BQ45" si="221">BP38*12</f>
        <v>215032.32958799996</v>
      </c>
      <c r="BR38" s="63">
        <f t="shared" ref="BR38:BR45" si="222">BO38</f>
        <v>1</v>
      </c>
      <c r="BS38" s="62">
        <f t="shared" ref="BS38:BS45" si="223">$C38*BR38</f>
        <v>17919.360798999998</v>
      </c>
      <c r="BT38" s="64">
        <f t="shared" ref="BT38:BT45" si="224">BS38*12</f>
        <v>215032.32958799996</v>
      </c>
      <c r="BU38" s="63">
        <f t="shared" ref="BU38:BU45" si="225">BR38</f>
        <v>1</v>
      </c>
      <c r="BV38" s="62">
        <f t="shared" ref="BV38:BV45" si="226">$C38*BU38</f>
        <v>17919.360798999998</v>
      </c>
      <c r="BW38" s="64">
        <f t="shared" ref="BW38:BW45" si="227">BV38*12</f>
        <v>215032.32958799996</v>
      </c>
      <c r="BX38" s="63">
        <f t="shared" ref="BX38:BX45" si="228">BU38</f>
        <v>1</v>
      </c>
      <c r="BY38" s="62">
        <f t="shared" ref="BY38:BY45" si="229">$C38*BX38</f>
        <v>17919.360798999998</v>
      </c>
      <c r="BZ38" s="65">
        <f t="shared" ref="BZ38:BZ45" si="230">BY38*12</f>
        <v>215032.32958799996</v>
      </c>
      <c r="CA38" s="67">
        <f t="shared" ref="CA38:CA47" si="231">F38+I38+L38+O38+R38+U38+X38+AA38+AD38+AG38+AJ38+AM38+AP38+AS38+AV38+AY38+BB38+BE38+BH38+BK38+BN38+BQ38+BT38+BW38+BZ38</f>
        <v>5053259.7453179965</v>
      </c>
    </row>
    <row r="39" spans="1:79" ht="12.75" customHeight="1" x14ac:dyDescent="0.35">
      <c r="A39" s="790" t="s">
        <v>124</v>
      </c>
      <c r="B39" s="61">
        <v>2631.09</v>
      </c>
      <c r="C39" s="62">
        <f t="shared" si="159"/>
        <v>5674.2640530000008</v>
      </c>
      <c r="D39" s="63">
        <v>1</v>
      </c>
      <c r="E39" s="62">
        <f t="shared" si="160"/>
        <v>5674.2640530000008</v>
      </c>
      <c r="F39" s="64">
        <f t="shared" si="161"/>
        <v>0</v>
      </c>
      <c r="G39" s="63">
        <f t="shared" si="162"/>
        <v>1</v>
      </c>
      <c r="H39" s="62">
        <f t="shared" si="163"/>
        <v>5674.2640530000008</v>
      </c>
      <c r="I39" s="64">
        <f t="shared" si="164"/>
        <v>34045.584318000008</v>
      </c>
      <c r="J39" s="63">
        <f t="shared" si="165"/>
        <v>1</v>
      </c>
      <c r="K39" s="62">
        <f t="shared" si="166"/>
        <v>5674.2640530000008</v>
      </c>
      <c r="L39" s="64">
        <f t="shared" si="167"/>
        <v>68091.168636000017</v>
      </c>
      <c r="M39" s="63">
        <f t="shared" si="168"/>
        <v>1</v>
      </c>
      <c r="N39" s="62">
        <f t="shared" si="169"/>
        <v>5674.2640530000008</v>
      </c>
      <c r="O39" s="64">
        <f t="shared" si="170"/>
        <v>68091.168636000017</v>
      </c>
      <c r="P39" s="63">
        <f t="shared" si="171"/>
        <v>1</v>
      </c>
      <c r="Q39" s="62">
        <f t="shared" si="172"/>
        <v>5674.2640530000008</v>
      </c>
      <c r="R39" s="64">
        <f t="shared" si="173"/>
        <v>68091.168636000017</v>
      </c>
      <c r="S39" s="63">
        <f t="shared" ref="S39:S45" si="232">P39</f>
        <v>1</v>
      </c>
      <c r="T39" s="62">
        <f t="shared" si="174"/>
        <v>5674.2640530000008</v>
      </c>
      <c r="U39" s="64">
        <f t="shared" si="175"/>
        <v>68091.168636000017</v>
      </c>
      <c r="V39" s="63">
        <f t="shared" si="176"/>
        <v>1</v>
      </c>
      <c r="W39" s="62">
        <f t="shared" si="177"/>
        <v>5674.2640530000008</v>
      </c>
      <c r="X39" s="64">
        <f t="shared" si="178"/>
        <v>68091.168636000017</v>
      </c>
      <c r="Y39" s="63">
        <f t="shared" si="179"/>
        <v>1</v>
      </c>
      <c r="Z39" s="62">
        <f t="shared" si="180"/>
        <v>5674.2640530000008</v>
      </c>
      <c r="AA39" s="64">
        <f t="shared" si="181"/>
        <v>68091.168636000017</v>
      </c>
      <c r="AB39" s="63">
        <f t="shared" si="182"/>
        <v>1</v>
      </c>
      <c r="AC39" s="62">
        <f t="shared" si="183"/>
        <v>5674.2640530000008</v>
      </c>
      <c r="AD39" s="64">
        <f t="shared" si="184"/>
        <v>68091.168636000017</v>
      </c>
      <c r="AE39" s="63">
        <v>2</v>
      </c>
      <c r="AF39" s="62">
        <f t="shared" si="186"/>
        <v>11348.528106000002</v>
      </c>
      <c r="AG39" s="64">
        <f t="shared" si="187"/>
        <v>136182.33727200003</v>
      </c>
      <c r="AH39" s="63">
        <v>2</v>
      </c>
      <c r="AI39" s="62">
        <f t="shared" si="188"/>
        <v>11348.528106000002</v>
      </c>
      <c r="AJ39" s="64">
        <f t="shared" si="189"/>
        <v>136182.33727200003</v>
      </c>
      <c r="AK39" s="63">
        <f t="shared" si="190"/>
        <v>2</v>
      </c>
      <c r="AL39" s="62">
        <f t="shared" si="191"/>
        <v>11348.528106000002</v>
      </c>
      <c r="AM39" s="64">
        <f t="shared" si="192"/>
        <v>136182.33727200003</v>
      </c>
      <c r="AN39" s="63">
        <f t="shared" si="193"/>
        <v>2</v>
      </c>
      <c r="AO39" s="62">
        <f t="shared" si="194"/>
        <v>11348.528106000002</v>
      </c>
      <c r="AP39" s="64">
        <f t="shared" si="195"/>
        <v>136182.33727200003</v>
      </c>
      <c r="AQ39" s="63">
        <f t="shared" si="196"/>
        <v>2</v>
      </c>
      <c r="AR39" s="62">
        <f t="shared" si="197"/>
        <v>11348.528106000002</v>
      </c>
      <c r="AS39" s="64">
        <f t="shared" si="198"/>
        <v>136182.33727200003</v>
      </c>
      <c r="AT39" s="63">
        <f t="shared" si="199"/>
        <v>2</v>
      </c>
      <c r="AU39" s="62">
        <f t="shared" si="200"/>
        <v>11348.528106000002</v>
      </c>
      <c r="AV39" s="64">
        <f t="shared" si="201"/>
        <v>136182.33727200003</v>
      </c>
      <c r="AW39" s="63">
        <v>2</v>
      </c>
      <c r="AX39" s="62">
        <f t="shared" si="202"/>
        <v>11348.528106000002</v>
      </c>
      <c r="AY39" s="64">
        <f t="shared" si="203"/>
        <v>136182.33727200003</v>
      </c>
      <c r="AZ39" s="63">
        <f t="shared" si="204"/>
        <v>2</v>
      </c>
      <c r="BA39" s="62">
        <f t="shared" si="205"/>
        <v>11348.528106000002</v>
      </c>
      <c r="BB39" s="64">
        <f t="shared" si="206"/>
        <v>136182.33727200003</v>
      </c>
      <c r="BC39" s="63">
        <f t="shared" si="207"/>
        <v>2</v>
      </c>
      <c r="BD39" s="62">
        <f t="shared" si="208"/>
        <v>11348.528106000002</v>
      </c>
      <c r="BE39" s="64">
        <f t="shared" si="209"/>
        <v>136182.33727200003</v>
      </c>
      <c r="BF39" s="63">
        <f t="shared" si="210"/>
        <v>2</v>
      </c>
      <c r="BG39" s="62">
        <f t="shared" si="211"/>
        <v>11348.528106000002</v>
      </c>
      <c r="BH39" s="64">
        <f t="shared" si="212"/>
        <v>136182.33727200003</v>
      </c>
      <c r="BI39" s="63">
        <f t="shared" si="213"/>
        <v>2</v>
      </c>
      <c r="BJ39" s="62">
        <f t="shared" si="214"/>
        <v>11348.528106000002</v>
      </c>
      <c r="BK39" s="64">
        <f t="shared" si="215"/>
        <v>136182.33727200003</v>
      </c>
      <c r="BL39" s="63">
        <f t="shared" si="216"/>
        <v>2</v>
      </c>
      <c r="BM39" s="62">
        <f t="shared" si="217"/>
        <v>11348.528106000002</v>
      </c>
      <c r="BN39" s="64">
        <f t="shared" si="218"/>
        <v>136182.33727200003</v>
      </c>
      <c r="BO39" s="63">
        <f t="shared" si="219"/>
        <v>2</v>
      </c>
      <c r="BP39" s="62">
        <f t="shared" si="220"/>
        <v>11348.528106000002</v>
      </c>
      <c r="BQ39" s="64">
        <f t="shared" si="221"/>
        <v>136182.33727200003</v>
      </c>
      <c r="BR39" s="63">
        <f t="shared" si="222"/>
        <v>2</v>
      </c>
      <c r="BS39" s="62">
        <f t="shared" si="223"/>
        <v>11348.528106000002</v>
      </c>
      <c r="BT39" s="64">
        <f t="shared" si="224"/>
        <v>136182.33727200003</v>
      </c>
      <c r="BU39" s="63">
        <f t="shared" si="225"/>
        <v>2</v>
      </c>
      <c r="BV39" s="62">
        <f t="shared" si="226"/>
        <v>11348.528106000002</v>
      </c>
      <c r="BW39" s="64">
        <f t="shared" si="227"/>
        <v>136182.33727200003</v>
      </c>
      <c r="BX39" s="63">
        <f t="shared" si="228"/>
        <v>2</v>
      </c>
      <c r="BY39" s="62">
        <f t="shared" si="229"/>
        <v>11348.528106000002</v>
      </c>
      <c r="BZ39" s="65">
        <f t="shared" si="230"/>
        <v>136182.33727200003</v>
      </c>
      <c r="CA39" s="67">
        <f t="shared" si="231"/>
        <v>2689601.1611220008</v>
      </c>
    </row>
    <row r="40" spans="1:79" ht="12.75" customHeight="1" x14ac:dyDescent="0.35">
      <c r="A40" s="790" t="s">
        <v>125</v>
      </c>
      <c r="B40" s="61">
        <v>2768.54</v>
      </c>
      <c r="C40" s="62">
        <f t="shared" si="159"/>
        <v>5905.4137180000007</v>
      </c>
      <c r="D40" s="63">
        <v>5</v>
      </c>
      <c r="E40" s="62">
        <f>$C40*D40</f>
        <v>29527.068590000003</v>
      </c>
      <c r="F40" s="64">
        <f t="shared" si="161"/>
        <v>0</v>
      </c>
      <c r="G40" s="63">
        <f t="shared" si="162"/>
        <v>5</v>
      </c>
      <c r="H40" s="62">
        <f t="shared" si="163"/>
        <v>29527.068590000003</v>
      </c>
      <c r="I40" s="64">
        <f t="shared" si="164"/>
        <v>177162.41154</v>
      </c>
      <c r="J40" s="63">
        <f t="shared" si="165"/>
        <v>5</v>
      </c>
      <c r="K40" s="62">
        <f t="shared" si="166"/>
        <v>29527.068590000003</v>
      </c>
      <c r="L40" s="64">
        <f t="shared" si="167"/>
        <v>354324.82308</v>
      </c>
      <c r="M40" s="63">
        <f t="shared" si="168"/>
        <v>5</v>
      </c>
      <c r="N40" s="62">
        <f t="shared" si="169"/>
        <v>29527.068590000003</v>
      </c>
      <c r="O40" s="64">
        <f t="shared" si="170"/>
        <v>354324.82308</v>
      </c>
      <c r="P40" s="63">
        <f t="shared" si="171"/>
        <v>5</v>
      </c>
      <c r="Q40" s="62">
        <f t="shared" si="172"/>
        <v>29527.068590000003</v>
      </c>
      <c r="R40" s="64">
        <f t="shared" si="173"/>
        <v>354324.82308</v>
      </c>
      <c r="S40" s="63">
        <f t="shared" si="232"/>
        <v>5</v>
      </c>
      <c r="T40" s="62">
        <f t="shared" si="174"/>
        <v>29527.068590000003</v>
      </c>
      <c r="U40" s="64">
        <f t="shared" si="175"/>
        <v>354324.82308</v>
      </c>
      <c r="V40" s="63">
        <f t="shared" si="176"/>
        <v>5</v>
      </c>
      <c r="W40" s="62">
        <f t="shared" si="177"/>
        <v>29527.068590000003</v>
      </c>
      <c r="X40" s="64">
        <f t="shared" si="178"/>
        <v>354324.82308</v>
      </c>
      <c r="Y40" s="63">
        <f t="shared" si="179"/>
        <v>5</v>
      </c>
      <c r="Z40" s="62">
        <f t="shared" si="180"/>
        <v>29527.068590000003</v>
      </c>
      <c r="AA40" s="64">
        <f t="shared" si="181"/>
        <v>354324.82308</v>
      </c>
      <c r="AB40" s="63">
        <f t="shared" si="182"/>
        <v>5</v>
      </c>
      <c r="AC40" s="62">
        <f t="shared" si="183"/>
        <v>29527.068590000003</v>
      </c>
      <c r="AD40" s="64">
        <f t="shared" si="184"/>
        <v>354324.82308</v>
      </c>
      <c r="AE40" s="63">
        <v>6</v>
      </c>
      <c r="AF40" s="62">
        <f t="shared" si="186"/>
        <v>35432.482308000006</v>
      </c>
      <c r="AG40" s="64">
        <f t="shared" si="187"/>
        <v>425189.78769600007</v>
      </c>
      <c r="AH40" s="63">
        <f>AE40</f>
        <v>6</v>
      </c>
      <c r="AI40" s="62">
        <f t="shared" si="188"/>
        <v>35432.482308000006</v>
      </c>
      <c r="AJ40" s="64">
        <f t="shared" si="189"/>
        <v>425189.78769600007</v>
      </c>
      <c r="AK40" s="63">
        <f t="shared" si="190"/>
        <v>6</v>
      </c>
      <c r="AL40" s="62">
        <f t="shared" si="191"/>
        <v>35432.482308000006</v>
      </c>
      <c r="AM40" s="64">
        <f t="shared" si="192"/>
        <v>425189.78769600007</v>
      </c>
      <c r="AN40" s="63">
        <f t="shared" si="193"/>
        <v>6</v>
      </c>
      <c r="AO40" s="62">
        <f t="shared" si="194"/>
        <v>35432.482308000006</v>
      </c>
      <c r="AP40" s="64">
        <f t="shared" si="195"/>
        <v>425189.78769600007</v>
      </c>
      <c r="AQ40" s="63">
        <f t="shared" si="196"/>
        <v>6</v>
      </c>
      <c r="AR40" s="62">
        <f t="shared" si="197"/>
        <v>35432.482308000006</v>
      </c>
      <c r="AS40" s="64">
        <f t="shared" si="198"/>
        <v>425189.78769600007</v>
      </c>
      <c r="AT40" s="63">
        <f t="shared" si="199"/>
        <v>6</v>
      </c>
      <c r="AU40" s="62">
        <f t="shared" si="200"/>
        <v>35432.482308000006</v>
      </c>
      <c r="AV40" s="64">
        <f t="shared" si="201"/>
        <v>425189.78769600007</v>
      </c>
      <c r="AW40" s="63">
        <f>AT40</f>
        <v>6</v>
      </c>
      <c r="AX40" s="62">
        <f t="shared" si="202"/>
        <v>35432.482308000006</v>
      </c>
      <c r="AY40" s="64">
        <f t="shared" si="203"/>
        <v>425189.78769600007</v>
      </c>
      <c r="AZ40" s="63">
        <f t="shared" si="204"/>
        <v>6</v>
      </c>
      <c r="BA40" s="62">
        <f t="shared" si="205"/>
        <v>35432.482308000006</v>
      </c>
      <c r="BB40" s="64">
        <f t="shared" si="206"/>
        <v>425189.78769600007</v>
      </c>
      <c r="BC40" s="63">
        <f t="shared" si="207"/>
        <v>6</v>
      </c>
      <c r="BD40" s="62">
        <f t="shared" si="208"/>
        <v>35432.482308000006</v>
      </c>
      <c r="BE40" s="64">
        <f t="shared" si="209"/>
        <v>425189.78769600007</v>
      </c>
      <c r="BF40" s="63">
        <f t="shared" si="210"/>
        <v>6</v>
      </c>
      <c r="BG40" s="62">
        <f t="shared" si="211"/>
        <v>35432.482308000006</v>
      </c>
      <c r="BH40" s="64">
        <f t="shared" si="212"/>
        <v>425189.78769600007</v>
      </c>
      <c r="BI40" s="63">
        <f t="shared" si="213"/>
        <v>6</v>
      </c>
      <c r="BJ40" s="62">
        <f t="shared" si="214"/>
        <v>35432.482308000006</v>
      </c>
      <c r="BK40" s="64">
        <f t="shared" si="215"/>
        <v>425189.78769600007</v>
      </c>
      <c r="BL40" s="63">
        <f t="shared" si="216"/>
        <v>6</v>
      </c>
      <c r="BM40" s="62">
        <f t="shared" si="217"/>
        <v>35432.482308000006</v>
      </c>
      <c r="BN40" s="64">
        <f t="shared" si="218"/>
        <v>425189.78769600007</v>
      </c>
      <c r="BO40" s="63">
        <f t="shared" si="219"/>
        <v>6</v>
      </c>
      <c r="BP40" s="62">
        <f t="shared" si="220"/>
        <v>35432.482308000006</v>
      </c>
      <c r="BQ40" s="64">
        <f t="shared" si="221"/>
        <v>425189.78769600007</v>
      </c>
      <c r="BR40" s="63">
        <f t="shared" si="222"/>
        <v>6</v>
      </c>
      <c r="BS40" s="62">
        <f t="shared" si="223"/>
        <v>35432.482308000006</v>
      </c>
      <c r="BT40" s="64">
        <f t="shared" si="224"/>
        <v>425189.78769600007</v>
      </c>
      <c r="BU40" s="63">
        <f t="shared" si="225"/>
        <v>6</v>
      </c>
      <c r="BV40" s="62">
        <f t="shared" si="226"/>
        <v>35432.482308000006</v>
      </c>
      <c r="BW40" s="64">
        <f t="shared" si="227"/>
        <v>425189.78769600007</v>
      </c>
      <c r="BX40" s="63">
        <f t="shared" si="228"/>
        <v>6</v>
      </c>
      <c r="BY40" s="62">
        <f t="shared" si="229"/>
        <v>35432.482308000006</v>
      </c>
      <c r="BZ40" s="65">
        <f t="shared" si="230"/>
        <v>425189.78769600007</v>
      </c>
      <c r="CA40" s="67">
        <f t="shared" si="231"/>
        <v>9460472.7762360014</v>
      </c>
    </row>
    <row r="41" spans="1:79" ht="12.75" customHeight="1" x14ac:dyDescent="0.35">
      <c r="A41" s="790" t="s">
        <v>126</v>
      </c>
      <c r="B41" s="61">
        <v>2431.4499999999998</v>
      </c>
      <c r="C41" s="62">
        <f t="shared" si="159"/>
        <v>5338.5294649999996</v>
      </c>
      <c r="D41" s="63">
        <v>5</v>
      </c>
      <c r="E41" s="62">
        <f>$C41*D41</f>
        <v>26692.647324999998</v>
      </c>
      <c r="F41" s="64">
        <f t="shared" si="161"/>
        <v>0</v>
      </c>
      <c r="G41" s="63">
        <f t="shared" si="162"/>
        <v>5</v>
      </c>
      <c r="H41" s="62">
        <f t="shared" si="163"/>
        <v>26692.647324999998</v>
      </c>
      <c r="I41" s="64">
        <f t="shared" si="164"/>
        <v>160155.88394999999</v>
      </c>
      <c r="J41" s="63">
        <f t="shared" si="165"/>
        <v>5</v>
      </c>
      <c r="K41" s="62">
        <f t="shared" si="166"/>
        <v>26692.647324999998</v>
      </c>
      <c r="L41" s="64">
        <f t="shared" si="167"/>
        <v>320311.76789999998</v>
      </c>
      <c r="M41" s="63">
        <f t="shared" si="168"/>
        <v>5</v>
      </c>
      <c r="N41" s="62">
        <f t="shared" si="169"/>
        <v>26692.647324999998</v>
      </c>
      <c r="O41" s="64">
        <f t="shared" si="170"/>
        <v>320311.76789999998</v>
      </c>
      <c r="P41" s="63">
        <f t="shared" si="171"/>
        <v>5</v>
      </c>
      <c r="Q41" s="62">
        <f t="shared" si="172"/>
        <v>26692.647324999998</v>
      </c>
      <c r="R41" s="64">
        <f t="shared" si="173"/>
        <v>320311.76789999998</v>
      </c>
      <c r="S41" s="63">
        <f t="shared" si="232"/>
        <v>5</v>
      </c>
      <c r="T41" s="62">
        <f t="shared" si="174"/>
        <v>26692.647324999998</v>
      </c>
      <c r="U41" s="64">
        <f t="shared" si="175"/>
        <v>320311.76789999998</v>
      </c>
      <c r="V41" s="63">
        <f t="shared" si="176"/>
        <v>5</v>
      </c>
      <c r="W41" s="62">
        <f t="shared" si="177"/>
        <v>26692.647324999998</v>
      </c>
      <c r="X41" s="64">
        <f t="shared" si="178"/>
        <v>320311.76789999998</v>
      </c>
      <c r="Y41" s="63">
        <f t="shared" si="179"/>
        <v>5</v>
      </c>
      <c r="Z41" s="62">
        <f t="shared" si="180"/>
        <v>26692.647324999998</v>
      </c>
      <c r="AA41" s="64">
        <f t="shared" si="181"/>
        <v>320311.76789999998</v>
      </c>
      <c r="AB41" s="63">
        <f t="shared" si="182"/>
        <v>5</v>
      </c>
      <c r="AC41" s="62">
        <f t="shared" si="183"/>
        <v>26692.647324999998</v>
      </c>
      <c r="AD41" s="64">
        <f t="shared" si="184"/>
        <v>320311.76789999998</v>
      </c>
      <c r="AE41" s="63">
        <v>6</v>
      </c>
      <c r="AF41" s="62">
        <f t="shared" si="186"/>
        <v>32031.176789999998</v>
      </c>
      <c r="AG41" s="64">
        <f t="shared" si="187"/>
        <v>384374.12147999997</v>
      </c>
      <c r="AH41" s="63">
        <f>AE41</f>
        <v>6</v>
      </c>
      <c r="AI41" s="62">
        <f t="shared" si="188"/>
        <v>32031.176789999998</v>
      </c>
      <c r="AJ41" s="64">
        <f t="shared" si="189"/>
        <v>384374.12147999997</v>
      </c>
      <c r="AK41" s="63">
        <f t="shared" si="190"/>
        <v>6</v>
      </c>
      <c r="AL41" s="62">
        <f t="shared" si="191"/>
        <v>32031.176789999998</v>
      </c>
      <c r="AM41" s="64">
        <f t="shared" si="192"/>
        <v>384374.12147999997</v>
      </c>
      <c r="AN41" s="63">
        <f t="shared" si="193"/>
        <v>6</v>
      </c>
      <c r="AO41" s="62">
        <f t="shared" si="194"/>
        <v>32031.176789999998</v>
      </c>
      <c r="AP41" s="64">
        <f t="shared" si="195"/>
        <v>384374.12147999997</v>
      </c>
      <c r="AQ41" s="63">
        <f t="shared" si="196"/>
        <v>6</v>
      </c>
      <c r="AR41" s="62">
        <f t="shared" si="197"/>
        <v>32031.176789999998</v>
      </c>
      <c r="AS41" s="64">
        <f t="shared" si="198"/>
        <v>384374.12147999997</v>
      </c>
      <c r="AT41" s="63">
        <f t="shared" si="199"/>
        <v>6</v>
      </c>
      <c r="AU41" s="62">
        <f t="shared" si="200"/>
        <v>32031.176789999998</v>
      </c>
      <c r="AV41" s="64">
        <f t="shared" si="201"/>
        <v>384374.12147999997</v>
      </c>
      <c r="AW41" s="63">
        <f>AT41</f>
        <v>6</v>
      </c>
      <c r="AX41" s="62">
        <f t="shared" si="202"/>
        <v>32031.176789999998</v>
      </c>
      <c r="AY41" s="64">
        <f t="shared" si="203"/>
        <v>384374.12147999997</v>
      </c>
      <c r="AZ41" s="63">
        <f t="shared" si="204"/>
        <v>6</v>
      </c>
      <c r="BA41" s="62">
        <f t="shared" si="205"/>
        <v>32031.176789999998</v>
      </c>
      <c r="BB41" s="64">
        <f t="shared" si="206"/>
        <v>384374.12147999997</v>
      </c>
      <c r="BC41" s="63">
        <f t="shared" si="207"/>
        <v>6</v>
      </c>
      <c r="BD41" s="62">
        <f t="shared" si="208"/>
        <v>32031.176789999998</v>
      </c>
      <c r="BE41" s="64">
        <f t="shared" si="209"/>
        <v>384374.12147999997</v>
      </c>
      <c r="BF41" s="63">
        <f t="shared" si="210"/>
        <v>6</v>
      </c>
      <c r="BG41" s="62">
        <f t="shared" si="211"/>
        <v>32031.176789999998</v>
      </c>
      <c r="BH41" s="64">
        <f t="shared" si="212"/>
        <v>384374.12147999997</v>
      </c>
      <c r="BI41" s="63">
        <f t="shared" si="213"/>
        <v>6</v>
      </c>
      <c r="BJ41" s="62">
        <f t="shared" si="214"/>
        <v>32031.176789999998</v>
      </c>
      <c r="BK41" s="64">
        <f t="shared" si="215"/>
        <v>384374.12147999997</v>
      </c>
      <c r="BL41" s="63">
        <f t="shared" si="216"/>
        <v>6</v>
      </c>
      <c r="BM41" s="62">
        <f t="shared" si="217"/>
        <v>32031.176789999998</v>
      </c>
      <c r="BN41" s="64">
        <f t="shared" si="218"/>
        <v>384374.12147999997</v>
      </c>
      <c r="BO41" s="63">
        <f t="shared" si="219"/>
        <v>6</v>
      </c>
      <c r="BP41" s="62">
        <f t="shared" si="220"/>
        <v>32031.176789999998</v>
      </c>
      <c r="BQ41" s="64">
        <f t="shared" si="221"/>
        <v>384374.12147999997</v>
      </c>
      <c r="BR41" s="63">
        <f t="shared" si="222"/>
        <v>6</v>
      </c>
      <c r="BS41" s="62">
        <f t="shared" si="223"/>
        <v>32031.176789999998</v>
      </c>
      <c r="BT41" s="64">
        <f t="shared" si="224"/>
        <v>384374.12147999997</v>
      </c>
      <c r="BU41" s="63">
        <f t="shared" si="225"/>
        <v>6</v>
      </c>
      <c r="BV41" s="62">
        <f t="shared" si="226"/>
        <v>32031.176789999998</v>
      </c>
      <c r="BW41" s="64">
        <f t="shared" si="227"/>
        <v>384374.12147999997</v>
      </c>
      <c r="BX41" s="63">
        <f t="shared" si="228"/>
        <v>6</v>
      </c>
      <c r="BY41" s="62">
        <f t="shared" si="229"/>
        <v>32031.176789999998</v>
      </c>
      <c r="BZ41" s="65">
        <f t="shared" si="230"/>
        <v>384374.12147999997</v>
      </c>
      <c r="CA41" s="67">
        <f t="shared" si="231"/>
        <v>8552324.2029300015</v>
      </c>
    </row>
    <row r="42" spans="1:79" ht="12.75" customHeight="1" x14ac:dyDescent="0.35">
      <c r="A42" s="790" t="s">
        <v>127</v>
      </c>
      <c r="B42" s="61">
        <v>1638.09</v>
      </c>
      <c r="C42" s="62">
        <f t="shared" si="159"/>
        <v>4004.3359529999998</v>
      </c>
      <c r="D42" s="63">
        <v>4</v>
      </c>
      <c r="E42" s="62">
        <f>$C42*D42</f>
        <v>16017.343811999999</v>
      </c>
      <c r="F42" s="64">
        <f t="shared" si="161"/>
        <v>0</v>
      </c>
      <c r="G42" s="86">
        <f t="shared" si="162"/>
        <v>4</v>
      </c>
      <c r="H42" s="62">
        <f t="shared" si="163"/>
        <v>16017.343811999999</v>
      </c>
      <c r="I42" s="64">
        <f t="shared" si="164"/>
        <v>96104.062871999995</v>
      </c>
      <c r="J42" s="86">
        <f t="shared" si="165"/>
        <v>4</v>
      </c>
      <c r="K42" s="62">
        <f t="shared" si="166"/>
        <v>16017.343811999999</v>
      </c>
      <c r="L42" s="64">
        <f t="shared" si="167"/>
        <v>192208.12574399999</v>
      </c>
      <c r="M42" s="86">
        <f t="shared" si="168"/>
        <v>4</v>
      </c>
      <c r="N42" s="62">
        <f t="shared" si="169"/>
        <v>16017.343811999999</v>
      </c>
      <c r="O42" s="64">
        <f t="shared" si="170"/>
        <v>192208.12574399999</v>
      </c>
      <c r="P42" s="86">
        <f t="shared" si="171"/>
        <v>4</v>
      </c>
      <c r="Q42" s="62">
        <f t="shared" si="172"/>
        <v>16017.343811999999</v>
      </c>
      <c r="R42" s="64">
        <f t="shared" si="173"/>
        <v>192208.12574399999</v>
      </c>
      <c r="S42" s="63">
        <f t="shared" si="232"/>
        <v>4</v>
      </c>
      <c r="T42" s="62">
        <f t="shared" si="174"/>
        <v>16017.343811999999</v>
      </c>
      <c r="U42" s="64">
        <f t="shared" si="175"/>
        <v>192208.12574399999</v>
      </c>
      <c r="V42" s="63">
        <f t="shared" si="176"/>
        <v>4</v>
      </c>
      <c r="W42" s="62">
        <f t="shared" si="177"/>
        <v>16017.343811999999</v>
      </c>
      <c r="X42" s="64">
        <f t="shared" si="178"/>
        <v>192208.12574399999</v>
      </c>
      <c r="Y42" s="63">
        <f t="shared" si="179"/>
        <v>4</v>
      </c>
      <c r="Z42" s="62">
        <f t="shared" si="180"/>
        <v>16017.343811999999</v>
      </c>
      <c r="AA42" s="64">
        <f t="shared" si="181"/>
        <v>192208.12574399999</v>
      </c>
      <c r="AB42" s="63">
        <f t="shared" si="182"/>
        <v>4</v>
      </c>
      <c r="AC42" s="62">
        <f t="shared" si="183"/>
        <v>16017.343811999999</v>
      </c>
      <c r="AD42" s="64">
        <f t="shared" si="184"/>
        <v>192208.12574399999</v>
      </c>
      <c r="AE42" s="63">
        <v>5</v>
      </c>
      <c r="AF42" s="62">
        <f t="shared" si="186"/>
        <v>20021.679765000001</v>
      </c>
      <c r="AG42" s="64">
        <f t="shared" si="187"/>
        <v>240260.15718000001</v>
      </c>
      <c r="AH42" s="63">
        <f>AE42</f>
        <v>5</v>
      </c>
      <c r="AI42" s="62">
        <f t="shared" si="188"/>
        <v>20021.679765000001</v>
      </c>
      <c r="AJ42" s="64">
        <f t="shared" si="189"/>
        <v>240260.15718000001</v>
      </c>
      <c r="AK42" s="63">
        <f t="shared" si="190"/>
        <v>5</v>
      </c>
      <c r="AL42" s="62">
        <f t="shared" si="191"/>
        <v>20021.679765000001</v>
      </c>
      <c r="AM42" s="64">
        <f t="shared" si="192"/>
        <v>240260.15718000001</v>
      </c>
      <c r="AN42" s="63">
        <f t="shared" si="193"/>
        <v>5</v>
      </c>
      <c r="AO42" s="62">
        <f t="shared" si="194"/>
        <v>20021.679765000001</v>
      </c>
      <c r="AP42" s="64">
        <f t="shared" si="195"/>
        <v>240260.15718000001</v>
      </c>
      <c r="AQ42" s="63">
        <f t="shared" si="196"/>
        <v>5</v>
      </c>
      <c r="AR42" s="62">
        <f t="shared" si="197"/>
        <v>20021.679765000001</v>
      </c>
      <c r="AS42" s="64">
        <f t="shared" si="198"/>
        <v>240260.15718000001</v>
      </c>
      <c r="AT42" s="63">
        <f t="shared" si="199"/>
        <v>5</v>
      </c>
      <c r="AU42" s="62">
        <f t="shared" si="200"/>
        <v>20021.679765000001</v>
      </c>
      <c r="AV42" s="64">
        <f t="shared" si="201"/>
        <v>240260.15718000001</v>
      </c>
      <c r="AW42" s="63">
        <f>AT42</f>
        <v>5</v>
      </c>
      <c r="AX42" s="62">
        <f t="shared" si="202"/>
        <v>20021.679765000001</v>
      </c>
      <c r="AY42" s="64">
        <f t="shared" si="203"/>
        <v>240260.15718000001</v>
      </c>
      <c r="AZ42" s="63">
        <f t="shared" si="204"/>
        <v>5</v>
      </c>
      <c r="BA42" s="62">
        <f t="shared" si="205"/>
        <v>20021.679765000001</v>
      </c>
      <c r="BB42" s="64">
        <f t="shared" si="206"/>
        <v>240260.15718000001</v>
      </c>
      <c r="BC42" s="63">
        <f t="shared" si="207"/>
        <v>5</v>
      </c>
      <c r="BD42" s="62">
        <f t="shared" si="208"/>
        <v>20021.679765000001</v>
      </c>
      <c r="BE42" s="64">
        <f t="shared" si="209"/>
        <v>240260.15718000001</v>
      </c>
      <c r="BF42" s="63">
        <f t="shared" si="210"/>
        <v>5</v>
      </c>
      <c r="BG42" s="62">
        <f t="shared" si="211"/>
        <v>20021.679765000001</v>
      </c>
      <c r="BH42" s="64">
        <f t="shared" si="212"/>
        <v>240260.15718000001</v>
      </c>
      <c r="BI42" s="63">
        <f t="shared" si="213"/>
        <v>5</v>
      </c>
      <c r="BJ42" s="62">
        <f t="shared" si="214"/>
        <v>20021.679765000001</v>
      </c>
      <c r="BK42" s="64">
        <f t="shared" si="215"/>
        <v>240260.15718000001</v>
      </c>
      <c r="BL42" s="63">
        <f t="shared" si="216"/>
        <v>5</v>
      </c>
      <c r="BM42" s="62">
        <f t="shared" si="217"/>
        <v>20021.679765000001</v>
      </c>
      <c r="BN42" s="64">
        <f t="shared" si="218"/>
        <v>240260.15718000001</v>
      </c>
      <c r="BO42" s="63">
        <f t="shared" si="219"/>
        <v>5</v>
      </c>
      <c r="BP42" s="62">
        <f t="shared" si="220"/>
        <v>20021.679765000001</v>
      </c>
      <c r="BQ42" s="64">
        <f t="shared" si="221"/>
        <v>240260.15718000001</v>
      </c>
      <c r="BR42" s="63">
        <f t="shared" si="222"/>
        <v>5</v>
      </c>
      <c r="BS42" s="62">
        <f t="shared" si="223"/>
        <v>20021.679765000001</v>
      </c>
      <c r="BT42" s="64">
        <f t="shared" si="224"/>
        <v>240260.15718000001</v>
      </c>
      <c r="BU42" s="63">
        <f t="shared" si="225"/>
        <v>5</v>
      </c>
      <c r="BV42" s="62">
        <f t="shared" si="226"/>
        <v>20021.679765000001</v>
      </c>
      <c r="BW42" s="64">
        <f t="shared" si="227"/>
        <v>240260.15718000001</v>
      </c>
      <c r="BX42" s="63">
        <f t="shared" si="228"/>
        <v>5</v>
      </c>
      <c r="BY42" s="62">
        <f t="shared" si="229"/>
        <v>20021.679765000001</v>
      </c>
      <c r="BZ42" s="65">
        <f t="shared" si="230"/>
        <v>240260.15718000001</v>
      </c>
      <c r="CA42" s="67">
        <f t="shared" si="231"/>
        <v>5285723.4579600012</v>
      </c>
    </row>
    <row r="43" spans="1:79" ht="12.75" customHeight="1" x14ac:dyDescent="0.35">
      <c r="A43" s="790" t="s">
        <v>107</v>
      </c>
      <c r="B43" s="61">
        <v>1638.09</v>
      </c>
      <c r="C43" s="62">
        <f t="shared" si="159"/>
        <v>4004.3359529999998</v>
      </c>
      <c r="D43" s="63">
        <v>2</v>
      </c>
      <c r="E43" s="62">
        <f t="shared" si="160"/>
        <v>8008.6719059999996</v>
      </c>
      <c r="F43" s="64">
        <f t="shared" si="161"/>
        <v>0</v>
      </c>
      <c r="G43" s="86">
        <f t="shared" si="162"/>
        <v>2</v>
      </c>
      <c r="H43" s="62">
        <f t="shared" ref="H43:H44" si="233">$C43*G43</f>
        <v>8008.6719059999996</v>
      </c>
      <c r="I43" s="64">
        <f t="shared" ref="I43:I44" si="234">H43*6</f>
        <v>48052.031435999997</v>
      </c>
      <c r="J43" s="86">
        <f t="shared" si="165"/>
        <v>2</v>
      </c>
      <c r="K43" s="62">
        <f t="shared" ref="K43:K44" si="235">$C43*J43</f>
        <v>8008.6719059999996</v>
      </c>
      <c r="L43" s="64">
        <f t="shared" ref="L43:L44" si="236">K43*12</f>
        <v>96104.062871999995</v>
      </c>
      <c r="M43" s="86">
        <f t="shared" si="168"/>
        <v>2</v>
      </c>
      <c r="N43" s="62">
        <f t="shared" ref="N43:N44" si="237">$C43*M43</f>
        <v>8008.6719059999996</v>
      </c>
      <c r="O43" s="64">
        <f t="shared" ref="O43:O44" si="238">N43*12</f>
        <v>96104.062871999995</v>
      </c>
      <c r="P43" s="86">
        <f t="shared" si="171"/>
        <v>2</v>
      </c>
      <c r="Q43" s="62">
        <f t="shared" ref="Q43:Q44" si="239">$C43*P43</f>
        <v>8008.6719059999996</v>
      </c>
      <c r="R43" s="64">
        <f t="shared" ref="R43:R44" si="240">Q43*12</f>
        <v>96104.062871999995</v>
      </c>
      <c r="S43" s="63">
        <f t="shared" si="232"/>
        <v>2</v>
      </c>
      <c r="T43" s="62">
        <f t="shared" ref="T43:T44" si="241">$C43*S43</f>
        <v>8008.6719059999996</v>
      </c>
      <c r="U43" s="64">
        <f t="shared" ref="U43:U44" si="242">T43*12</f>
        <v>96104.062871999995</v>
      </c>
      <c r="V43" s="63">
        <f t="shared" si="176"/>
        <v>2</v>
      </c>
      <c r="W43" s="62">
        <f t="shared" ref="W43:W44" si="243">$C43*V43</f>
        <v>8008.6719059999996</v>
      </c>
      <c r="X43" s="64">
        <f t="shared" ref="X43:X44" si="244">W43*12</f>
        <v>96104.062871999995</v>
      </c>
      <c r="Y43" s="63">
        <f t="shared" si="179"/>
        <v>2</v>
      </c>
      <c r="Z43" s="62">
        <f t="shared" ref="Z43:Z44" si="245">$C43*Y43</f>
        <v>8008.6719059999996</v>
      </c>
      <c r="AA43" s="64">
        <f t="shared" ref="AA43:AA44" si="246">Z43*12</f>
        <v>96104.062871999995</v>
      </c>
      <c r="AB43" s="63">
        <f t="shared" si="182"/>
        <v>2</v>
      </c>
      <c r="AC43" s="62">
        <f t="shared" ref="AC43:AC44" si="247">$C43*AB43</f>
        <v>8008.6719059999996</v>
      </c>
      <c r="AD43" s="64">
        <f t="shared" ref="AD43:AD44" si="248">AC43*12</f>
        <v>96104.062871999995</v>
      </c>
      <c r="AE43" s="63">
        <f t="shared" si="185"/>
        <v>2</v>
      </c>
      <c r="AF43" s="62">
        <f t="shared" ref="AF43:AF44" si="249">$C43*AE43</f>
        <v>8008.6719059999996</v>
      </c>
      <c r="AG43" s="64">
        <f t="shared" ref="AG43:AG44" si="250">AF43*12</f>
        <v>96104.062871999995</v>
      </c>
      <c r="AH43" s="63">
        <v>2</v>
      </c>
      <c r="AI43" s="62">
        <f t="shared" si="188"/>
        <v>8008.6719059999996</v>
      </c>
      <c r="AJ43" s="64">
        <f t="shared" si="189"/>
        <v>96104.062871999995</v>
      </c>
      <c r="AK43" s="63">
        <f t="shared" si="190"/>
        <v>2</v>
      </c>
      <c r="AL43" s="62">
        <f t="shared" si="191"/>
        <v>8008.6719059999996</v>
      </c>
      <c r="AM43" s="64">
        <f t="shared" si="192"/>
        <v>96104.062871999995</v>
      </c>
      <c r="AN43" s="63">
        <f t="shared" si="193"/>
        <v>2</v>
      </c>
      <c r="AO43" s="62">
        <f t="shared" si="194"/>
        <v>8008.6719059999996</v>
      </c>
      <c r="AP43" s="64">
        <f t="shared" si="195"/>
        <v>96104.062871999995</v>
      </c>
      <c r="AQ43" s="63">
        <f t="shared" si="196"/>
        <v>2</v>
      </c>
      <c r="AR43" s="62">
        <f t="shared" si="197"/>
        <v>8008.6719059999996</v>
      </c>
      <c r="AS43" s="64">
        <f t="shared" si="198"/>
        <v>96104.062871999995</v>
      </c>
      <c r="AT43" s="63">
        <f t="shared" si="199"/>
        <v>2</v>
      </c>
      <c r="AU43" s="62">
        <f t="shared" si="200"/>
        <v>8008.6719059999996</v>
      </c>
      <c r="AV43" s="64">
        <f t="shared" si="201"/>
        <v>96104.062871999995</v>
      </c>
      <c r="AW43" s="63">
        <v>2</v>
      </c>
      <c r="AX43" s="62">
        <f t="shared" si="202"/>
        <v>8008.6719059999996</v>
      </c>
      <c r="AY43" s="64">
        <f t="shared" si="203"/>
        <v>96104.062871999995</v>
      </c>
      <c r="AZ43" s="63">
        <f t="shared" si="204"/>
        <v>2</v>
      </c>
      <c r="BA43" s="62">
        <f t="shared" si="205"/>
        <v>8008.6719059999996</v>
      </c>
      <c r="BB43" s="64">
        <f t="shared" si="206"/>
        <v>96104.062871999995</v>
      </c>
      <c r="BC43" s="63">
        <f t="shared" si="207"/>
        <v>2</v>
      </c>
      <c r="BD43" s="62">
        <f t="shared" si="208"/>
        <v>8008.6719059999996</v>
      </c>
      <c r="BE43" s="64">
        <f t="shared" si="209"/>
        <v>96104.062871999995</v>
      </c>
      <c r="BF43" s="63">
        <f t="shared" si="210"/>
        <v>2</v>
      </c>
      <c r="BG43" s="62">
        <f t="shared" si="211"/>
        <v>8008.6719059999996</v>
      </c>
      <c r="BH43" s="64">
        <f t="shared" si="212"/>
        <v>96104.062871999995</v>
      </c>
      <c r="BI43" s="63">
        <f t="shared" si="213"/>
        <v>2</v>
      </c>
      <c r="BJ43" s="62">
        <f t="shared" si="214"/>
        <v>8008.6719059999996</v>
      </c>
      <c r="BK43" s="64">
        <f t="shared" si="215"/>
        <v>96104.062871999995</v>
      </c>
      <c r="BL43" s="63">
        <f t="shared" si="216"/>
        <v>2</v>
      </c>
      <c r="BM43" s="62">
        <f t="shared" si="217"/>
        <v>8008.6719059999996</v>
      </c>
      <c r="BN43" s="64">
        <f t="shared" si="218"/>
        <v>96104.062871999995</v>
      </c>
      <c r="BO43" s="63">
        <f t="shared" si="219"/>
        <v>2</v>
      </c>
      <c r="BP43" s="62">
        <f t="shared" si="220"/>
        <v>8008.6719059999996</v>
      </c>
      <c r="BQ43" s="64">
        <f t="shared" si="221"/>
        <v>96104.062871999995</v>
      </c>
      <c r="BR43" s="63">
        <f t="shared" si="222"/>
        <v>2</v>
      </c>
      <c r="BS43" s="62">
        <f t="shared" si="223"/>
        <v>8008.6719059999996</v>
      </c>
      <c r="BT43" s="64">
        <f t="shared" si="224"/>
        <v>96104.062871999995</v>
      </c>
      <c r="BU43" s="63">
        <f t="shared" si="225"/>
        <v>2</v>
      </c>
      <c r="BV43" s="62">
        <f t="shared" si="226"/>
        <v>8008.6719059999996</v>
      </c>
      <c r="BW43" s="64">
        <f t="shared" si="227"/>
        <v>96104.062871999995</v>
      </c>
      <c r="BX43" s="63">
        <f t="shared" si="228"/>
        <v>2</v>
      </c>
      <c r="BY43" s="62">
        <f t="shared" si="229"/>
        <v>8008.6719059999996</v>
      </c>
      <c r="BZ43" s="65">
        <f t="shared" si="230"/>
        <v>96104.062871999995</v>
      </c>
      <c r="CA43" s="67">
        <f t="shared" si="231"/>
        <v>2258445.4774920004</v>
      </c>
    </row>
    <row r="44" spans="1:79" ht="12.75" customHeight="1" x14ac:dyDescent="0.35">
      <c r="A44" s="790" t="s">
        <v>128</v>
      </c>
      <c r="B44" s="61">
        <v>2250.27</v>
      </c>
      <c r="C44" s="62">
        <f t="shared" si="159"/>
        <v>5033.8390589999999</v>
      </c>
      <c r="D44" s="63">
        <v>1</v>
      </c>
      <c r="E44" s="62">
        <f>C44</f>
        <v>5033.8390589999999</v>
      </c>
      <c r="F44" s="64">
        <f t="shared" si="161"/>
        <v>0</v>
      </c>
      <c r="G44" s="86">
        <f t="shared" si="162"/>
        <v>1</v>
      </c>
      <c r="H44" s="62">
        <f t="shared" si="233"/>
        <v>5033.8390589999999</v>
      </c>
      <c r="I44" s="64">
        <f t="shared" si="234"/>
        <v>30203.034353999999</v>
      </c>
      <c r="J44" s="86">
        <f t="shared" si="165"/>
        <v>1</v>
      </c>
      <c r="K44" s="62">
        <f t="shared" si="235"/>
        <v>5033.8390589999999</v>
      </c>
      <c r="L44" s="64">
        <f t="shared" si="236"/>
        <v>60406.068707999999</v>
      </c>
      <c r="M44" s="86">
        <f t="shared" si="168"/>
        <v>1</v>
      </c>
      <c r="N44" s="62">
        <f t="shared" si="237"/>
        <v>5033.8390589999999</v>
      </c>
      <c r="O44" s="64">
        <f t="shared" si="238"/>
        <v>60406.068707999999</v>
      </c>
      <c r="P44" s="86">
        <f t="shared" si="171"/>
        <v>1</v>
      </c>
      <c r="Q44" s="62">
        <f t="shared" si="239"/>
        <v>5033.8390589999999</v>
      </c>
      <c r="R44" s="64">
        <f t="shared" si="240"/>
        <v>60406.068707999999</v>
      </c>
      <c r="S44" s="63">
        <f t="shared" si="232"/>
        <v>1</v>
      </c>
      <c r="T44" s="62">
        <f t="shared" si="241"/>
        <v>5033.8390589999999</v>
      </c>
      <c r="U44" s="64">
        <f t="shared" si="242"/>
        <v>60406.068707999999</v>
      </c>
      <c r="V44" s="63">
        <f t="shared" si="176"/>
        <v>1</v>
      </c>
      <c r="W44" s="62">
        <f t="shared" si="243"/>
        <v>5033.8390589999999</v>
      </c>
      <c r="X44" s="64">
        <f t="shared" si="244"/>
        <v>60406.068707999999</v>
      </c>
      <c r="Y44" s="63">
        <f t="shared" si="179"/>
        <v>1</v>
      </c>
      <c r="Z44" s="62">
        <f t="shared" si="245"/>
        <v>5033.8390589999999</v>
      </c>
      <c r="AA44" s="64">
        <f t="shared" si="246"/>
        <v>60406.068707999999</v>
      </c>
      <c r="AB44" s="63">
        <f t="shared" si="182"/>
        <v>1</v>
      </c>
      <c r="AC44" s="62">
        <f t="shared" si="247"/>
        <v>5033.8390589999999</v>
      </c>
      <c r="AD44" s="64">
        <f t="shared" si="248"/>
        <v>60406.068707999999</v>
      </c>
      <c r="AE44" s="63">
        <f t="shared" si="185"/>
        <v>1</v>
      </c>
      <c r="AF44" s="62">
        <f t="shared" si="249"/>
        <v>5033.8390589999999</v>
      </c>
      <c r="AG44" s="64">
        <f t="shared" si="250"/>
        <v>60406.068707999999</v>
      </c>
      <c r="AH44" s="63">
        <v>1</v>
      </c>
      <c r="AI44" s="62">
        <f t="shared" si="188"/>
        <v>5033.8390589999999</v>
      </c>
      <c r="AJ44" s="64">
        <f t="shared" si="189"/>
        <v>60406.068707999999</v>
      </c>
      <c r="AK44" s="63">
        <f t="shared" si="190"/>
        <v>1</v>
      </c>
      <c r="AL44" s="62">
        <f t="shared" si="191"/>
        <v>5033.8390589999999</v>
      </c>
      <c r="AM44" s="64">
        <f t="shared" si="192"/>
        <v>60406.068707999999</v>
      </c>
      <c r="AN44" s="63">
        <f t="shared" si="193"/>
        <v>1</v>
      </c>
      <c r="AO44" s="62">
        <f t="shared" si="194"/>
        <v>5033.8390589999999</v>
      </c>
      <c r="AP44" s="64">
        <f t="shared" si="195"/>
        <v>60406.068707999999</v>
      </c>
      <c r="AQ44" s="63">
        <f t="shared" si="196"/>
        <v>1</v>
      </c>
      <c r="AR44" s="62">
        <f t="shared" si="197"/>
        <v>5033.8390589999999</v>
      </c>
      <c r="AS44" s="64">
        <f t="shared" si="198"/>
        <v>60406.068707999999</v>
      </c>
      <c r="AT44" s="63">
        <f t="shared" si="199"/>
        <v>1</v>
      </c>
      <c r="AU44" s="62">
        <f t="shared" si="200"/>
        <v>5033.8390589999999</v>
      </c>
      <c r="AV44" s="64">
        <f t="shared" si="201"/>
        <v>60406.068707999999</v>
      </c>
      <c r="AW44" s="63">
        <v>1</v>
      </c>
      <c r="AX44" s="62">
        <f t="shared" si="202"/>
        <v>5033.8390589999999</v>
      </c>
      <c r="AY44" s="64">
        <f t="shared" si="203"/>
        <v>60406.068707999999</v>
      </c>
      <c r="AZ44" s="63">
        <f t="shared" si="204"/>
        <v>1</v>
      </c>
      <c r="BA44" s="62">
        <f t="shared" si="205"/>
        <v>5033.8390589999999</v>
      </c>
      <c r="BB44" s="64">
        <f t="shared" si="206"/>
        <v>60406.068707999999</v>
      </c>
      <c r="BC44" s="63">
        <f t="shared" si="207"/>
        <v>1</v>
      </c>
      <c r="BD44" s="62">
        <f t="shared" si="208"/>
        <v>5033.8390589999999</v>
      </c>
      <c r="BE44" s="64">
        <f t="shared" si="209"/>
        <v>60406.068707999999</v>
      </c>
      <c r="BF44" s="63">
        <f t="shared" si="210"/>
        <v>1</v>
      </c>
      <c r="BG44" s="62">
        <f t="shared" si="211"/>
        <v>5033.8390589999999</v>
      </c>
      <c r="BH44" s="64">
        <f t="shared" si="212"/>
        <v>60406.068707999999</v>
      </c>
      <c r="BI44" s="63">
        <f t="shared" si="213"/>
        <v>1</v>
      </c>
      <c r="BJ44" s="62">
        <f t="shared" si="214"/>
        <v>5033.8390589999999</v>
      </c>
      <c r="BK44" s="64">
        <f t="shared" si="215"/>
        <v>60406.068707999999</v>
      </c>
      <c r="BL44" s="63">
        <f t="shared" si="216"/>
        <v>1</v>
      </c>
      <c r="BM44" s="62">
        <f t="shared" si="217"/>
        <v>5033.8390589999999</v>
      </c>
      <c r="BN44" s="64">
        <f t="shared" si="218"/>
        <v>60406.068707999999</v>
      </c>
      <c r="BO44" s="63">
        <f t="shared" si="219"/>
        <v>1</v>
      </c>
      <c r="BP44" s="62">
        <f t="shared" si="220"/>
        <v>5033.8390589999999</v>
      </c>
      <c r="BQ44" s="64">
        <f t="shared" si="221"/>
        <v>60406.068707999999</v>
      </c>
      <c r="BR44" s="63">
        <f t="shared" si="222"/>
        <v>1</v>
      </c>
      <c r="BS44" s="62">
        <f t="shared" si="223"/>
        <v>5033.8390589999999</v>
      </c>
      <c r="BT44" s="64">
        <f t="shared" si="224"/>
        <v>60406.068707999999</v>
      </c>
      <c r="BU44" s="63">
        <f t="shared" si="225"/>
        <v>1</v>
      </c>
      <c r="BV44" s="62">
        <f t="shared" si="226"/>
        <v>5033.8390589999999</v>
      </c>
      <c r="BW44" s="64">
        <f t="shared" si="227"/>
        <v>60406.068707999999</v>
      </c>
      <c r="BX44" s="63">
        <f t="shared" si="228"/>
        <v>1</v>
      </c>
      <c r="BY44" s="62">
        <f t="shared" si="229"/>
        <v>5033.8390589999999</v>
      </c>
      <c r="BZ44" s="65">
        <f t="shared" si="230"/>
        <v>60406.068707999999</v>
      </c>
      <c r="CA44" s="67">
        <f t="shared" si="231"/>
        <v>1419542.614638</v>
      </c>
    </row>
    <row r="45" spans="1:79" ht="12.75" customHeight="1" x14ac:dyDescent="0.35">
      <c r="A45" s="790" t="s">
        <v>129</v>
      </c>
      <c r="B45" s="61">
        <v>1638.09</v>
      </c>
      <c r="C45" s="62">
        <f t="shared" si="159"/>
        <v>4004.3359529999998</v>
      </c>
      <c r="D45" s="63">
        <v>2</v>
      </c>
      <c r="E45" s="62">
        <f t="shared" si="160"/>
        <v>8008.6719059999996</v>
      </c>
      <c r="F45" s="64">
        <f t="shared" si="161"/>
        <v>0</v>
      </c>
      <c r="G45" s="86">
        <f t="shared" si="162"/>
        <v>2</v>
      </c>
      <c r="H45" s="62">
        <f t="shared" si="163"/>
        <v>8008.6719059999996</v>
      </c>
      <c r="I45" s="64">
        <f t="shared" si="164"/>
        <v>48052.031435999997</v>
      </c>
      <c r="J45" s="86">
        <f t="shared" si="165"/>
        <v>2</v>
      </c>
      <c r="K45" s="62">
        <f t="shared" si="166"/>
        <v>8008.6719059999996</v>
      </c>
      <c r="L45" s="64">
        <f t="shared" si="167"/>
        <v>96104.062871999995</v>
      </c>
      <c r="M45" s="86">
        <f t="shared" si="168"/>
        <v>2</v>
      </c>
      <c r="N45" s="62">
        <f t="shared" si="169"/>
        <v>8008.6719059999996</v>
      </c>
      <c r="O45" s="64">
        <f t="shared" si="170"/>
        <v>96104.062871999995</v>
      </c>
      <c r="P45" s="86">
        <f t="shared" si="171"/>
        <v>2</v>
      </c>
      <c r="Q45" s="62">
        <f t="shared" si="172"/>
        <v>8008.6719059999996</v>
      </c>
      <c r="R45" s="64">
        <f t="shared" si="173"/>
        <v>96104.062871999995</v>
      </c>
      <c r="S45" s="63">
        <f t="shared" si="232"/>
        <v>2</v>
      </c>
      <c r="T45" s="62">
        <f t="shared" si="174"/>
        <v>8008.6719059999996</v>
      </c>
      <c r="U45" s="64">
        <f t="shared" si="175"/>
        <v>96104.062871999995</v>
      </c>
      <c r="V45" s="63">
        <f t="shared" si="176"/>
        <v>2</v>
      </c>
      <c r="W45" s="62">
        <f t="shared" si="177"/>
        <v>8008.6719059999996</v>
      </c>
      <c r="X45" s="64">
        <f t="shared" si="178"/>
        <v>96104.062871999995</v>
      </c>
      <c r="Y45" s="63">
        <f t="shared" si="179"/>
        <v>2</v>
      </c>
      <c r="Z45" s="62">
        <f t="shared" si="180"/>
        <v>8008.6719059999996</v>
      </c>
      <c r="AA45" s="64">
        <f t="shared" si="181"/>
        <v>96104.062871999995</v>
      </c>
      <c r="AB45" s="63">
        <f t="shared" si="182"/>
        <v>2</v>
      </c>
      <c r="AC45" s="62">
        <f t="shared" si="183"/>
        <v>8008.6719059999996</v>
      </c>
      <c r="AD45" s="64">
        <f t="shared" si="184"/>
        <v>96104.062871999995</v>
      </c>
      <c r="AE45" s="63">
        <f t="shared" si="185"/>
        <v>2</v>
      </c>
      <c r="AF45" s="62">
        <f t="shared" si="186"/>
        <v>8008.6719059999996</v>
      </c>
      <c r="AG45" s="64">
        <f t="shared" si="187"/>
        <v>96104.062871999995</v>
      </c>
      <c r="AH45" s="63">
        <v>2</v>
      </c>
      <c r="AI45" s="62">
        <f t="shared" si="188"/>
        <v>8008.6719059999996</v>
      </c>
      <c r="AJ45" s="64">
        <f t="shared" si="189"/>
        <v>96104.062871999995</v>
      </c>
      <c r="AK45" s="63">
        <f t="shared" si="190"/>
        <v>2</v>
      </c>
      <c r="AL45" s="62">
        <f t="shared" si="191"/>
        <v>8008.6719059999996</v>
      </c>
      <c r="AM45" s="64">
        <f t="shared" si="192"/>
        <v>96104.062871999995</v>
      </c>
      <c r="AN45" s="63">
        <f t="shared" si="193"/>
        <v>2</v>
      </c>
      <c r="AO45" s="62">
        <f t="shared" si="194"/>
        <v>8008.6719059999996</v>
      </c>
      <c r="AP45" s="64">
        <f t="shared" si="195"/>
        <v>96104.062871999995</v>
      </c>
      <c r="AQ45" s="63">
        <f t="shared" si="196"/>
        <v>2</v>
      </c>
      <c r="AR45" s="62">
        <f t="shared" si="197"/>
        <v>8008.6719059999996</v>
      </c>
      <c r="AS45" s="64">
        <f t="shared" si="198"/>
        <v>96104.062871999995</v>
      </c>
      <c r="AT45" s="63">
        <f t="shared" si="199"/>
        <v>2</v>
      </c>
      <c r="AU45" s="62">
        <f t="shared" si="200"/>
        <v>8008.6719059999996</v>
      </c>
      <c r="AV45" s="64">
        <f t="shared" si="201"/>
        <v>96104.062871999995</v>
      </c>
      <c r="AW45" s="63">
        <v>2</v>
      </c>
      <c r="AX45" s="62">
        <f t="shared" si="202"/>
        <v>8008.6719059999996</v>
      </c>
      <c r="AY45" s="64">
        <f t="shared" si="203"/>
        <v>96104.062871999995</v>
      </c>
      <c r="AZ45" s="63">
        <f t="shared" si="204"/>
        <v>2</v>
      </c>
      <c r="BA45" s="62">
        <f t="shared" si="205"/>
        <v>8008.6719059999996</v>
      </c>
      <c r="BB45" s="64">
        <f t="shared" si="206"/>
        <v>96104.062871999995</v>
      </c>
      <c r="BC45" s="63">
        <f t="shared" si="207"/>
        <v>2</v>
      </c>
      <c r="BD45" s="62">
        <f t="shared" si="208"/>
        <v>8008.6719059999996</v>
      </c>
      <c r="BE45" s="64">
        <f t="shared" si="209"/>
        <v>96104.062871999995</v>
      </c>
      <c r="BF45" s="63">
        <f t="shared" si="210"/>
        <v>2</v>
      </c>
      <c r="BG45" s="62">
        <f t="shared" si="211"/>
        <v>8008.6719059999996</v>
      </c>
      <c r="BH45" s="64">
        <f t="shared" si="212"/>
        <v>96104.062871999995</v>
      </c>
      <c r="BI45" s="63">
        <f t="shared" si="213"/>
        <v>2</v>
      </c>
      <c r="BJ45" s="62">
        <f t="shared" si="214"/>
        <v>8008.6719059999996</v>
      </c>
      <c r="BK45" s="64">
        <f t="shared" si="215"/>
        <v>96104.062871999995</v>
      </c>
      <c r="BL45" s="63">
        <f t="shared" si="216"/>
        <v>2</v>
      </c>
      <c r="BM45" s="62">
        <f t="shared" si="217"/>
        <v>8008.6719059999996</v>
      </c>
      <c r="BN45" s="64">
        <f t="shared" si="218"/>
        <v>96104.062871999995</v>
      </c>
      <c r="BO45" s="63">
        <f t="shared" si="219"/>
        <v>2</v>
      </c>
      <c r="BP45" s="62">
        <f t="shared" si="220"/>
        <v>8008.6719059999996</v>
      </c>
      <c r="BQ45" s="64">
        <f t="shared" si="221"/>
        <v>96104.062871999995</v>
      </c>
      <c r="BR45" s="63">
        <f t="shared" si="222"/>
        <v>2</v>
      </c>
      <c r="BS45" s="62">
        <f t="shared" si="223"/>
        <v>8008.6719059999996</v>
      </c>
      <c r="BT45" s="64">
        <f t="shared" si="224"/>
        <v>96104.062871999995</v>
      </c>
      <c r="BU45" s="63">
        <f t="shared" si="225"/>
        <v>2</v>
      </c>
      <c r="BV45" s="62">
        <f t="shared" si="226"/>
        <v>8008.6719059999996</v>
      </c>
      <c r="BW45" s="64">
        <f t="shared" si="227"/>
        <v>96104.062871999995</v>
      </c>
      <c r="BX45" s="63">
        <f t="shared" si="228"/>
        <v>2</v>
      </c>
      <c r="BY45" s="62">
        <f t="shared" si="229"/>
        <v>8008.6719059999996</v>
      </c>
      <c r="BZ45" s="65">
        <f t="shared" si="230"/>
        <v>96104.062871999995</v>
      </c>
      <c r="CA45" s="67">
        <f t="shared" si="231"/>
        <v>2258445.4774920004</v>
      </c>
    </row>
    <row r="46" spans="1:79" ht="12.75" customHeight="1" x14ac:dyDescent="0.3">
      <c r="A46" s="79" t="s">
        <v>130</v>
      </c>
      <c r="B46" s="87"/>
      <c r="C46" s="87"/>
      <c r="D46" s="68">
        <f t="shared" ref="D46:AE46" si="251">SUM(D38:D45)</f>
        <v>21</v>
      </c>
      <c r="E46" s="88">
        <f t="shared" si="251"/>
        <v>116881.86745000001</v>
      </c>
      <c r="F46" s="88">
        <f t="shared" si="251"/>
        <v>0</v>
      </c>
      <c r="G46" s="68">
        <f t="shared" si="251"/>
        <v>21</v>
      </c>
      <c r="H46" s="88">
        <f t="shared" si="251"/>
        <v>116881.86745000001</v>
      </c>
      <c r="I46" s="88">
        <f t="shared" si="251"/>
        <v>701291.2047</v>
      </c>
      <c r="J46" s="68">
        <f t="shared" si="251"/>
        <v>21</v>
      </c>
      <c r="K46" s="88">
        <f t="shared" si="251"/>
        <v>116881.86745000001</v>
      </c>
      <c r="L46" s="88">
        <f t="shared" si="251"/>
        <v>1402582.4094</v>
      </c>
      <c r="M46" s="68">
        <f t="shared" si="251"/>
        <v>21</v>
      </c>
      <c r="N46" s="88">
        <f t="shared" si="251"/>
        <v>116881.86745000001</v>
      </c>
      <c r="O46" s="88">
        <f t="shared" si="251"/>
        <v>1402582.4094</v>
      </c>
      <c r="P46" s="68">
        <f t="shared" si="251"/>
        <v>21</v>
      </c>
      <c r="Q46" s="88">
        <f t="shared" si="251"/>
        <v>116881.86745000001</v>
      </c>
      <c r="R46" s="88">
        <f t="shared" si="251"/>
        <v>1402582.4094</v>
      </c>
      <c r="S46" s="68">
        <f t="shared" si="251"/>
        <v>21</v>
      </c>
      <c r="T46" s="88">
        <f t="shared" si="251"/>
        <v>116881.86745000001</v>
      </c>
      <c r="U46" s="88">
        <f t="shared" si="251"/>
        <v>1402582.4094</v>
      </c>
      <c r="V46" s="68">
        <f t="shared" si="251"/>
        <v>21</v>
      </c>
      <c r="W46" s="88">
        <f t="shared" si="251"/>
        <v>116881.86745000001</v>
      </c>
      <c r="X46" s="88">
        <f t="shared" si="251"/>
        <v>1402582.4094</v>
      </c>
      <c r="Y46" s="68">
        <f t="shared" si="251"/>
        <v>21</v>
      </c>
      <c r="Z46" s="88">
        <f t="shared" si="251"/>
        <v>116881.86745000001</v>
      </c>
      <c r="AA46" s="88">
        <f t="shared" si="251"/>
        <v>1402582.4094</v>
      </c>
      <c r="AB46" s="68">
        <f t="shared" si="251"/>
        <v>21</v>
      </c>
      <c r="AC46" s="88">
        <f t="shared" si="251"/>
        <v>116881.86745000001</v>
      </c>
      <c r="AD46" s="88">
        <f t="shared" si="251"/>
        <v>1402582.4094</v>
      </c>
      <c r="AE46" s="68">
        <f t="shared" si="251"/>
        <v>25</v>
      </c>
      <c r="AF46" s="88">
        <f t="shared" ref="AF46:BY46" si="252">SUM(AF38:AF45)</f>
        <v>137804.41063900001</v>
      </c>
      <c r="AG46" s="88">
        <f>SUM(AG38:AG45)</f>
        <v>1653652.9276680003</v>
      </c>
      <c r="AH46" s="68">
        <f t="shared" si="252"/>
        <v>25</v>
      </c>
      <c r="AI46" s="88">
        <f t="shared" si="252"/>
        <v>137804.41063900001</v>
      </c>
      <c r="AJ46" s="88">
        <f t="shared" si="252"/>
        <v>1653652.9276680003</v>
      </c>
      <c r="AK46" s="68">
        <f t="shared" si="252"/>
        <v>25</v>
      </c>
      <c r="AL46" s="88">
        <f t="shared" si="252"/>
        <v>137804.41063900001</v>
      </c>
      <c r="AM46" s="88">
        <f t="shared" si="252"/>
        <v>1653652.9276680003</v>
      </c>
      <c r="AN46" s="68">
        <f>SUM(AN38:AN45)</f>
        <v>25</v>
      </c>
      <c r="AO46" s="88">
        <f t="shared" si="252"/>
        <v>137804.41063900001</v>
      </c>
      <c r="AP46" s="88">
        <f>SUM(AP38:AP45)</f>
        <v>1653652.9276680003</v>
      </c>
      <c r="AQ46" s="68">
        <f t="shared" si="252"/>
        <v>25</v>
      </c>
      <c r="AR46" s="88">
        <f t="shared" si="252"/>
        <v>137804.41063900001</v>
      </c>
      <c r="AS46" s="88">
        <f>SUM(AS38:AS45)</f>
        <v>1653652.9276680003</v>
      </c>
      <c r="AT46" s="68">
        <f t="shared" si="252"/>
        <v>25</v>
      </c>
      <c r="AU46" s="88">
        <f t="shared" si="252"/>
        <v>137804.41063900001</v>
      </c>
      <c r="AV46" s="88">
        <f t="shared" si="252"/>
        <v>1653652.9276680003</v>
      </c>
      <c r="AW46" s="68">
        <f t="shared" si="252"/>
        <v>25</v>
      </c>
      <c r="AX46" s="88">
        <f t="shared" si="252"/>
        <v>137804.41063900001</v>
      </c>
      <c r="AY46" s="88">
        <f t="shared" si="252"/>
        <v>1653652.9276680003</v>
      </c>
      <c r="AZ46" s="68">
        <f t="shared" si="252"/>
        <v>25</v>
      </c>
      <c r="BA46" s="88">
        <f t="shared" si="252"/>
        <v>137804.41063900001</v>
      </c>
      <c r="BB46" s="88">
        <f t="shared" si="252"/>
        <v>1653652.9276680003</v>
      </c>
      <c r="BC46" s="68">
        <f t="shared" si="252"/>
        <v>25</v>
      </c>
      <c r="BD46" s="88">
        <f t="shared" si="252"/>
        <v>137804.41063900001</v>
      </c>
      <c r="BE46" s="88">
        <f t="shared" si="252"/>
        <v>1653652.9276680003</v>
      </c>
      <c r="BF46" s="68">
        <f t="shared" si="252"/>
        <v>25</v>
      </c>
      <c r="BG46" s="88">
        <f t="shared" si="252"/>
        <v>137804.41063900001</v>
      </c>
      <c r="BH46" s="88">
        <f t="shared" si="252"/>
        <v>1653652.9276680003</v>
      </c>
      <c r="BI46" s="68">
        <f t="shared" si="252"/>
        <v>25</v>
      </c>
      <c r="BJ46" s="88">
        <f t="shared" si="252"/>
        <v>137804.41063900001</v>
      </c>
      <c r="BK46" s="88">
        <f t="shared" si="252"/>
        <v>1653652.9276680003</v>
      </c>
      <c r="BL46" s="68">
        <f t="shared" si="252"/>
        <v>25</v>
      </c>
      <c r="BM46" s="88">
        <f t="shared" si="252"/>
        <v>137804.41063900001</v>
      </c>
      <c r="BN46" s="88">
        <f t="shared" si="252"/>
        <v>1653652.9276680003</v>
      </c>
      <c r="BO46" s="68">
        <f t="shared" si="252"/>
        <v>25</v>
      </c>
      <c r="BP46" s="88">
        <f t="shared" si="252"/>
        <v>137804.41063900001</v>
      </c>
      <c r="BQ46" s="88">
        <f t="shared" si="252"/>
        <v>1653652.9276680003</v>
      </c>
      <c r="BR46" s="68">
        <f t="shared" si="252"/>
        <v>25</v>
      </c>
      <c r="BS46" s="88">
        <f t="shared" si="252"/>
        <v>137804.41063900001</v>
      </c>
      <c r="BT46" s="88">
        <f t="shared" si="252"/>
        <v>1653652.9276680003</v>
      </c>
      <c r="BU46" s="68">
        <f>SUM(BU38:BU45)</f>
        <v>25</v>
      </c>
      <c r="BV46" s="88">
        <f>SUM(BV38:BV45)</f>
        <v>137804.41063900001</v>
      </c>
      <c r="BW46" s="88">
        <f>SUM(BW38:BW45)</f>
        <v>1653652.9276680003</v>
      </c>
      <c r="BX46" s="68">
        <f>SUM(BX38:BX45)</f>
        <v>25</v>
      </c>
      <c r="BY46" s="88">
        <f t="shared" si="252"/>
        <v>137804.41063900001</v>
      </c>
      <c r="BZ46" s="88">
        <f>SUM(BZ38:BZ45)</f>
        <v>1653652.9276680003</v>
      </c>
      <c r="CA46" s="81">
        <f t="shared" si="231"/>
        <v>36977814.91318801</v>
      </c>
    </row>
    <row r="47" spans="1:79" ht="12.75" customHeight="1" x14ac:dyDescent="0.3">
      <c r="A47" s="89" t="s">
        <v>131</v>
      </c>
      <c r="B47" s="90"/>
      <c r="C47" s="90"/>
      <c r="D47" s="91">
        <f>D30+D35+D46</f>
        <v>24</v>
      </c>
      <c r="E47" s="92">
        <f>E30+E46+E35</f>
        <v>133578.80014800001</v>
      </c>
      <c r="F47" s="92">
        <f>F30+F46</f>
        <v>0</v>
      </c>
      <c r="G47" s="91">
        <f>G30+G35+G46</f>
        <v>24</v>
      </c>
      <c r="H47" s="92">
        <f>H30+H46+H35</f>
        <v>133578.80014800001</v>
      </c>
      <c r="I47" s="92">
        <f>I30+I46+I35</f>
        <v>792367.92965399998</v>
      </c>
      <c r="J47" s="91">
        <f>J30+J35+J46</f>
        <v>24</v>
      </c>
      <c r="K47" s="92">
        <f>K30+K46+K35</f>
        <v>137734.05867900001</v>
      </c>
      <c r="L47" s="92">
        <f>L30+L46+L35</f>
        <v>1652808.7041479999</v>
      </c>
      <c r="M47" s="91">
        <f>M30+M35+M46</f>
        <v>24</v>
      </c>
      <c r="N47" s="92">
        <f>N30+N46+N35</f>
        <v>137734.05867900001</v>
      </c>
      <c r="O47" s="92">
        <f>O30+O46+O35</f>
        <v>1652808.7041479999</v>
      </c>
      <c r="P47" s="91">
        <f>P30+P35+P46</f>
        <v>24</v>
      </c>
      <c r="Q47" s="92">
        <f>Q30+Q46+Q35</f>
        <v>137734.05867900001</v>
      </c>
      <c r="R47" s="92">
        <f>R30+R46+R35</f>
        <v>1652808.7041479999</v>
      </c>
      <c r="S47" s="91">
        <f>S30+S35+S46</f>
        <v>24</v>
      </c>
      <c r="T47" s="92">
        <f>T30+T46+T35</f>
        <v>137734.05867900001</v>
      </c>
      <c r="U47" s="92">
        <f>U30+U46+U35</f>
        <v>1652808.7041479999</v>
      </c>
      <c r="V47" s="91">
        <f>V30+V35+V46</f>
        <v>24</v>
      </c>
      <c r="W47" s="92">
        <f>W30+W46+W35</f>
        <v>137734.05867900001</v>
      </c>
      <c r="X47" s="92">
        <f>X30+X46+X35</f>
        <v>1652808.7041479999</v>
      </c>
      <c r="Y47" s="91">
        <f>Y30+Y35+Y46</f>
        <v>24</v>
      </c>
      <c r="Z47" s="92">
        <f>Z30+Z46+Z35</f>
        <v>137734.05867900001</v>
      </c>
      <c r="AA47" s="92">
        <f>AA30+AA46+AA35</f>
        <v>1652808.7041479999</v>
      </c>
      <c r="AB47" s="91">
        <f>AB30+AB35+AB46</f>
        <v>24</v>
      </c>
      <c r="AC47" s="92">
        <f>AC30+AC46+AC35</f>
        <v>137734.05867900001</v>
      </c>
      <c r="AD47" s="92">
        <f>AD30+AD46+AD35</f>
        <v>1652808.7041479999</v>
      </c>
      <c r="AE47" s="91">
        <f>AE30+AE35+AE46</f>
        <v>31</v>
      </c>
      <c r="AF47" s="92">
        <f>AF30+AF46+AF35</f>
        <v>179508.79309699999</v>
      </c>
      <c r="AG47" s="92">
        <f>AG30+AG46+AG35</f>
        <v>2154105.5171640003</v>
      </c>
      <c r="AH47" s="91">
        <f>AH30+AH35+AH46</f>
        <v>31</v>
      </c>
      <c r="AI47" s="92">
        <f>AI30+AI46+AI35</f>
        <v>179508.79309699999</v>
      </c>
      <c r="AJ47" s="92">
        <f>AJ30+AJ46+AJ35</f>
        <v>2154105.5171640003</v>
      </c>
      <c r="AK47" s="91">
        <f>AK30+AK35+AK46</f>
        <v>31</v>
      </c>
      <c r="AL47" s="92">
        <f>AL30+AL46+AL35</f>
        <v>179508.79309699999</v>
      </c>
      <c r="AM47" s="92">
        <f>AM30+AM46+AM35</f>
        <v>2154105.5171640003</v>
      </c>
      <c r="AN47" s="91">
        <f>AN30+AN35+AN46</f>
        <v>31</v>
      </c>
      <c r="AO47" s="92">
        <f>AO30+AO46+AO35</f>
        <v>179508.79309699999</v>
      </c>
      <c r="AP47" s="92">
        <f>AP30+AP46+AP35</f>
        <v>2154105.5171640003</v>
      </c>
      <c r="AQ47" s="91">
        <f>AQ30+AQ35+AQ46</f>
        <v>31</v>
      </c>
      <c r="AR47" s="92">
        <f>AR30+AR46+AR35</f>
        <v>179508.79309699999</v>
      </c>
      <c r="AS47" s="92">
        <f>AS30+AS46+AS35</f>
        <v>2154105.5171640003</v>
      </c>
      <c r="AT47" s="91">
        <f>AT30+AT35+AT46</f>
        <v>32</v>
      </c>
      <c r="AU47" s="92">
        <f>AU30+AU46+AU35</f>
        <v>187926.48162800001</v>
      </c>
      <c r="AV47" s="92">
        <f>AV30+AV46+AV35</f>
        <v>2255117.7795360005</v>
      </c>
      <c r="AW47" s="91">
        <f>AW30+AW35+AW46</f>
        <v>32</v>
      </c>
      <c r="AX47" s="92">
        <f>AX30+AX46+AX35</f>
        <v>187926.48162800001</v>
      </c>
      <c r="AY47" s="92">
        <f>AY30+AY46+AY35</f>
        <v>2255117.7795360005</v>
      </c>
      <c r="AZ47" s="91">
        <f>AZ30+AZ35+AZ46</f>
        <v>32</v>
      </c>
      <c r="BA47" s="92">
        <f>BA30+BA46+BA35</f>
        <v>187926.48162800001</v>
      </c>
      <c r="BB47" s="92">
        <f>BB30+BB46+BB35</f>
        <v>2255117.7795360005</v>
      </c>
      <c r="BC47" s="91">
        <f>BC30+BC35+BC46</f>
        <v>32</v>
      </c>
      <c r="BD47" s="92">
        <f>BD30+BD46+BD35</f>
        <v>187926.48162800001</v>
      </c>
      <c r="BE47" s="92">
        <f>BE30+BE46+BE35</f>
        <v>2255117.7795360005</v>
      </c>
      <c r="BF47" s="91">
        <f>BF30+BF35+BF46</f>
        <v>32</v>
      </c>
      <c r="BG47" s="92">
        <f>BG30+BG46+BG35</f>
        <v>187926.48162800001</v>
      </c>
      <c r="BH47" s="92">
        <f>BH30+BH46+BH35</f>
        <v>2255117.7795360005</v>
      </c>
      <c r="BI47" s="91">
        <f>BI30+BI35+BI46</f>
        <v>32</v>
      </c>
      <c r="BJ47" s="92">
        <f>BJ30+BJ46+BJ35</f>
        <v>187926.48162800001</v>
      </c>
      <c r="BK47" s="92">
        <f>BK30+BK46+BK35</f>
        <v>2255117.7795360005</v>
      </c>
      <c r="BL47" s="91">
        <f>BL30+BL35+BL46</f>
        <v>32</v>
      </c>
      <c r="BM47" s="92">
        <f>BM30+BM46+BM35</f>
        <v>187926.48162800001</v>
      </c>
      <c r="BN47" s="92">
        <f>BN30+BN46+BN35</f>
        <v>2255117.7795360005</v>
      </c>
      <c r="BO47" s="91">
        <f>BO30+BO35+BO46</f>
        <v>32</v>
      </c>
      <c r="BP47" s="92">
        <f>BP30+BP46+BP35</f>
        <v>187926.48162800001</v>
      </c>
      <c r="BQ47" s="92">
        <f>BQ30+BQ46+BQ35</f>
        <v>2255117.7795360005</v>
      </c>
      <c r="BR47" s="91">
        <f>BR30+BR35+BR46</f>
        <v>32</v>
      </c>
      <c r="BS47" s="92">
        <f>BS30+BS46+BS35</f>
        <v>187926.48162800001</v>
      </c>
      <c r="BT47" s="92">
        <f>BT30+BT46+BT35</f>
        <v>2255117.7795360005</v>
      </c>
      <c r="BU47" s="91">
        <f>BU30+BU35+BU46</f>
        <v>32</v>
      </c>
      <c r="BV47" s="92">
        <f>BV30+BV46+BV35</f>
        <v>187926.48162800001</v>
      </c>
      <c r="BW47" s="92">
        <f>BW30+BW46+BW35</f>
        <v>2255117.7795360005</v>
      </c>
      <c r="BX47" s="91">
        <f>BX30+BX35+BX46</f>
        <v>32</v>
      </c>
      <c r="BY47" s="92">
        <f>BY30+BY46+BY35</f>
        <v>187926.48162800001</v>
      </c>
      <c r="BZ47" s="92">
        <f>BZ30+BZ46+BZ35</f>
        <v>2255117.7795360005</v>
      </c>
      <c r="CA47" s="93">
        <f t="shared" si="231"/>
        <v>47938852.019406013</v>
      </c>
    </row>
    <row r="48" spans="1:79" ht="12.75" customHeight="1" x14ac:dyDescent="0.3">
      <c r="A48" s="94"/>
      <c r="B48" s="95"/>
      <c r="C48" s="95"/>
      <c r="D48" s="96"/>
      <c r="E48" s="97"/>
      <c r="F48" s="97"/>
      <c r="G48" s="96"/>
      <c r="H48" s="97"/>
      <c r="I48" s="97" t="s">
        <v>132</v>
      </c>
      <c r="J48" s="96"/>
      <c r="K48" s="97"/>
      <c r="L48" s="97"/>
      <c r="M48" s="96"/>
      <c r="N48" s="97"/>
      <c r="O48" s="97"/>
      <c r="P48" s="96"/>
      <c r="Q48" s="97"/>
      <c r="R48" s="97"/>
      <c r="S48" s="96"/>
      <c r="T48" s="97"/>
      <c r="U48" s="97"/>
      <c r="V48" s="96"/>
      <c r="W48" s="97"/>
      <c r="X48" s="97"/>
      <c r="Y48" s="96"/>
      <c r="Z48" s="97"/>
      <c r="AA48" s="97"/>
      <c r="AB48" s="96"/>
      <c r="AC48" s="97"/>
      <c r="AD48" s="97"/>
      <c r="AE48" s="96"/>
      <c r="AF48" s="97"/>
      <c r="AG48" s="97"/>
      <c r="AH48" s="96"/>
      <c r="AI48" s="97"/>
      <c r="AJ48" s="97"/>
      <c r="AK48" s="96"/>
      <c r="AL48" s="97"/>
      <c r="AM48" s="97"/>
      <c r="AN48" s="96"/>
      <c r="AO48" s="97"/>
      <c r="AP48" s="97"/>
      <c r="AQ48" s="96"/>
      <c r="AR48" s="97"/>
      <c r="AS48" s="97"/>
      <c r="AT48" s="96"/>
      <c r="AU48" s="97"/>
      <c r="AV48" s="97"/>
      <c r="AW48" s="96"/>
      <c r="AX48" s="97"/>
      <c r="AY48" s="97"/>
      <c r="AZ48" s="96"/>
      <c r="BA48" s="97"/>
      <c r="BB48" s="97"/>
      <c r="BC48" s="96"/>
      <c r="BD48" s="97"/>
      <c r="BE48" s="97"/>
      <c r="BF48" s="96"/>
      <c r="BG48" s="97"/>
      <c r="BH48" s="97"/>
      <c r="BI48" s="96"/>
      <c r="BJ48" s="97"/>
      <c r="BK48" s="97"/>
      <c r="BL48" s="96"/>
      <c r="BM48" s="97"/>
      <c r="BN48" s="97"/>
      <c r="BO48" s="96"/>
      <c r="BP48" s="97"/>
      <c r="BQ48" s="97"/>
      <c r="BR48" s="96"/>
      <c r="BS48" s="97"/>
      <c r="BT48" s="97"/>
      <c r="BU48" s="96"/>
      <c r="BV48" s="97"/>
      <c r="BW48" s="97"/>
      <c r="BX48" s="96"/>
      <c r="BY48" s="97"/>
      <c r="BZ48" s="97"/>
      <c r="CA48" s="67"/>
    </row>
    <row r="49" spans="1:79" ht="12.75" customHeight="1" x14ac:dyDescent="0.35">
      <c r="A49" s="99" t="s">
        <v>133</v>
      </c>
      <c r="B49" s="100"/>
      <c r="C49" s="100"/>
      <c r="D49" s="101">
        <f>D26+D30+D35+D46</f>
        <v>51</v>
      </c>
      <c r="E49" s="102">
        <f>E26+E30+E35+E46</f>
        <v>539814.93322699994</v>
      </c>
      <c r="F49" s="102">
        <f>F26+F30+F46</f>
        <v>0</v>
      </c>
      <c r="G49" s="101">
        <f>G26+G30+G35+G46</f>
        <v>51</v>
      </c>
      <c r="H49" s="102"/>
      <c r="I49" s="102">
        <f>(I26+I30+I35+I46)/0.935</f>
        <v>3454315.2172491984</v>
      </c>
      <c r="J49" s="101">
        <f>J26+J30+J35+J46</f>
        <v>51</v>
      </c>
      <c r="K49" s="102"/>
      <c r="L49" s="102">
        <f>(L26+L30+L35+L46)/0.935</f>
        <v>6981435.6161454553</v>
      </c>
      <c r="M49" s="101">
        <f>M26+M30+M35+M46</f>
        <v>51</v>
      </c>
      <c r="N49" s="102"/>
      <c r="O49" s="102">
        <f>(O26+O30+O35+O46)/0.935</f>
        <v>6981435.6161454553</v>
      </c>
      <c r="P49" s="101">
        <f>P26+P30+P35+P46</f>
        <v>51</v>
      </c>
      <c r="Q49" s="102"/>
      <c r="R49" s="102">
        <f>(R26+R30+R35+R46)/0.935</f>
        <v>6981435.6161454553</v>
      </c>
      <c r="S49" s="101">
        <f>S26+S30+S35+S46</f>
        <v>51</v>
      </c>
      <c r="T49" s="102"/>
      <c r="U49" s="102">
        <f>(U26+U30+U35+U46)/0.935</f>
        <v>6981435.6161454553</v>
      </c>
      <c r="V49" s="101">
        <f>V26+V30+V35+V46</f>
        <v>51</v>
      </c>
      <c r="W49" s="102"/>
      <c r="X49" s="102">
        <f>(X26+X30+X35+X46)/0.935</f>
        <v>6981435.6161454553</v>
      </c>
      <c r="Y49" s="101">
        <f>Y26+Y30+Y35+Y46</f>
        <v>51</v>
      </c>
      <c r="Z49" s="102"/>
      <c r="AA49" s="102">
        <f>(AA26+AA30+AA35+AA46)/0.935</f>
        <v>6981435.6161454553</v>
      </c>
      <c r="AB49" s="101">
        <f>AB26+AB30+AB35+AB46</f>
        <v>51</v>
      </c>
      <c r="AC49" s="102"/>
      <c r="AD49" s="102">
        <f>(AD26+AD30+AD35+AD46)/0.935</f>
        <v>6981435.6161454553</v>
      </c>
      <c r="AE49" s="101">
        <f>AE26+AE30+AE35+AE46</f>
        <v>59</v>
      </c>
      <c r="AF49" s="102"/>
      <c r="AG49" s="102">
        <f>(AG26+AG30+AG35+AG46)/0.935</f>
        <v>7642258.0450267391</v>
      </c>
      <c r="AH49" s="101">
        <f>AH26+AH30+AH35+AH46</f>
        <v>59</v>
      </c>
      <c r="AI49" s="102"/>
      <c r="AJ49" s="102">
        <f>(AJ26+AJ30+AJ35+AJ46)/0.935</f>
        <v>7642258.0450267391</v>
      </c>
      <c r="AK49" s="101">
        <f>AK26+AK30+AK35+AK46</f>
        <v>59</v>
      </c>
      <c r="AL49" s="102"/>
      <c r="AM49" s="102">
        <f>(AM26+AM30+AM35+AM46)/0.935</f>
        <v>7642258.0450267391</v>
      </c>
      <c r="AN49" s="101">
        <f>AN26+AN30+AN35+AN46</f>
        <v>59</v>
      </c>
      <c r="AO49" s="102"/>
      <c r="AP49" s="102">
        <f>(AP26+AP30+AP35+AP46)/0.935</f>
        <v>7642258.0450267391</v>
      </c>
      <c r="AQ49" s="101">
        <f>AQ26+AQ30+AQ35+AQ46</f>
        <v>60</v>
      </c>
      <c r="AR49" s="102"/>
      <c r="AS49" s="102">
        <f>(AS26+AS30+AS35+AS46)/0.935</f>
        <v>7695418.9130566856</v>
      </c>
      <c r="AT49" s="101">
        <f>AT26+AT30+AT35+AT46</f>
        <v>61</v>
      </c>
      <c r="AU49" s="102"/>
      <c r="AV49" s="102">
        <f>(AV26+AV30+AV35+AV46)/0.935</f>
        <v>7803453.4182673804</v>
      </c>
      <c r="AW49" s="101">
        <f>AW26+AW30+AW35+AW46</f>
        <v>61</v>
      </c>
      <c r="AX49" s="102"/>
      <c r="AY49" s="102">
        <f>(AY26+AY30+AY35+AY46)/0.935</f>
        <v>7803453.4182673804</v>
      </c>
      <c r="AZ49" s="101">
        <f>AZ26+AZ30+AZ35+AZ46</f>
        <v>61</v>
      </c>
      <c r="BA49" s="102"/>
      <c r="BB49" s="102">
        <f>(BB26+BB30+BB35+BB46)/0.935</f>
        <v>7803453.4182673804</v>
      </c>
      <c r="BC49" s="101">
        <f>BC26+BC30+BC35+BC46</f>
        <v>61</v>
      </c>
      <c r="BD49" s="102"/>
      <c r="BE49" s="102">
        <f>(BE26+BE30+BE35+BE46)/0.935</f>
        <v>7803453.4182673804</v>
      </c>
      <c r="BF49" s="101">
        <f>BF26+BF30+BF35+BF46</f>
        <v>61</v>
      </c>
      <c r="BG49" s="102"/>
      <c r="BH49" s="102">
        <f>(BH26+BH30+BH35+BH46)/0.935</f>
        <v>7803453.4182673804</v>
      </c>
      <c r="BI49" s="101">
        <f>BI26+BI30+BI35+BI46</f>
        <v>61</v>
      </c>
      <c r="BJ49" s="102"/>
      <c r="BK49" s="102">
        <f>(BK26+BK30+BK35+BK46)/0.935</f>
        <v>7803453.4182673804</v>
      </c>
      <c r="BL49" s="101">
        <f>BL26+BL30+BL35+BL46</f>
        <v>61</v>
      </c>
      <c r="BM49" s="102"/>
      <c r="BN49" s="102">
        <f>(BN26+BN30+BN35+BN46)/0.935</f>
        <v>7803453.4182673804</v>
      </c>
      <c r="BO49" s="101">
        <f>BO26+BO30+BO35+BO46</f>
        <v>61</v>
      </c>
      <c r="BP49" s="102"/>
      <c r="BQ49" s="102">
        <f>(BQ26+BQ30+BQ35+BQ46)/0.935</f>
        <v>7803453.4182673804</v>
      </c>
      <c r="BR49" s="101">
        <f>BR26+BR30+BR35+BR46</f>
        <v>61</v>
      </c>
      <c r="BS49" s="102"/>
      <c r="BT49" s="102">
        <f>(BT26+BT30+BT35+BT46)/0.935</f>
        <v>7803453.4182673804</v>
      </c>
      <c r="BU49" s="101">
        <f>BU26+BU30+BU35+BU46</f>
        <v>61</v>
      </c>
      <c r="BV49" s="102"/>
      <c r="BW49" s="102">
        <f>(BW26+BW30+BW35+BW46)/0.935</f>
        <v>7803453.4182673804</v>
      </c>
      <c r="BX49" s="101">
        <f>BX26+BX30+BX35+BX46</f>
        <v>61</v>
      </c>
      <c r="BY49" s="102"/>
      <c r="BZ49" s="102">
        <f>(BZ26+BZ30+BZ35+BZ46)/0.935</f>
        <v>7803453.4182673804</v>
      </c>
      <c r="CA49" s="70">
        <f>F49+I49+L49+O49+R49+U49+X49+AA49+AD49+AG49+AJ49+AM49+AP49+AS49+AV49+AY49+BB49+BE49+BH49+BK49+BN49+BQ49+BT49+BW49+BZ49</f>
        <v>176426803.22437215</v>
      </c>
    </row>
    <row r="50" spans="1:79" ht="12.75" customHeight="1" x14ac:dyDescent="0.25">
      <c r="A50" s="45"/>
      <c r="B50" s="45"/>
      <c r="C50" s="45"/>
      <c r="D50" s="7"/>
      <c r="E50" s="45"/>
      <c r="F50" s="45"/>
      <c r="G50" s="7"/>
      <c r="H50" s="45"/>
      <c r="I50" s="45"/>
      <c r="J50" s="7"/>
      <c r="K50" s="45"/>
      <c r="L50" s="45"/>
      <c r="M50" s="7"/>
      <c r="N50" s="45"/>
      <c r="O50" s="45"/>
      <c r="P50" s="7"/>
      <c r="Q50" s="45"/>
      <c r="R50" s="45"/>
      <c r="S50" s="7"/>
      <c r="T50" s="45"/>
      <c r="U50" s="45"/>
      <c r="V50" s="7"/>
      <c r="W50" s="45"/>
      <c r="X50" s="45"/>
      <c r="Y50" s="7"/>
      <c r="Z50" s="45"/>
      <c r="AA50" s="45"/>
      <c r="AB50" s="7"/>
      <c r="AC50" s="45"/>
      <c r="AD50" s="45"/>
      <c r="AE50" s="7"/>
      <c r="AF50" s="45"/>
      <c r="AG50" s="45"/>
      <c r="AH50" s="7"/>
      <c r="AI50" s="45"/>
      <c r="AJ50" s="45"/>
      <c r="AK50" s="7"/>
      <c r="AL50" s="45"/>
      <c r="AM50" s="45"/>
      <c r="AN50" s="7"/>
      <c r="AO50" s="45"/>
      <c r="AP50" s="45"/>
      <c r="AQ50" s="7"/>
      <c r="AR50" s="45"/>
      <c r="AS50" s="45"/>
      <c r="AT50" s="7"/>
      <c r="AU50" s="45"/>
      <c r="AV50" s="45"/>
      <c r="AW50" s="7"/>
      <c r="AX50" s="45"/>
      <c r="AY50" s="45"/>
      <c r="AZ50" s="7"/>
      <c r="BA50" s="45"/>
      <c r="BB50" s="45"/>
      <c r="BC50" s="7"/>
      <c r="BD50" s="45"/>
      <c r="BE50" s="45"/>
      <c r="BF50" s="7"/>
      <c r="BG50" s="45"/>
      <c r="BH50" s="45"/>
      <c r="BI50" s="7"/>
      <c r="BJ50" s="45"/>
      <c r="BK50" s="45"/>
      <c r="BL50" s="7"/>
      <c r="BM50" s="45"/>
      <c r="BN50" s="45"/>
      <c r="BO50" s="7"/>
      <c r="BP50" s="45"/>
      <c r="BQ50" s="45"/>
      <c r="BR50" s="7"/>
      <c r="BS50" s="45"/>
      <c r="BT50" s="45"/>
      <c r="BU50" s="7"/>
      <c r="BV50" s="45"/>
      <c r="BW50" s="45"/>
      <c r="BX50" s="7"/>
      <c r="BY50" s="45"/>
      <c r="BZ50" s="45"/>
      <c r="CA50" s="7"/>
    </row>
    <row r="51" spans="1:79" ht="12.75" customHeight="1" x14ac:dyDescent="0.25">
      <c r="A51" s="45"/>
      <c r="B51" s="45"/>
      <c r="C51" s="45"/>
      <c r="D51" s="7"/>
      <c r="E51" s="45"/>
      <c r="F51" s="45"/>
      <c r="G51" s="7"/>
      <c r="H51" s="45"/>
      <c r="I51" s="45"/>
      <c r="J51" s="7"/>
      <c r="K51" s="45"/>
      <c r="L51" s="45"/>
      <c r="M51" s="7"/>
      <c r="N51" s="45"/>
      <c r="O51" s="45"/>
      <c r="P51" s="7"/>
      <c r="Q51" s="45"/>
      <c r="R51" s="45"/>
      <c r="S51" s="7"/>
      <c r="T51" s="45"/>
      <c r="U51" s="45"/>
      <c r="V51" s="7"/>
      <c r="W51" s="45"/>
      <c r="X51" s="45"/>
      <c r="Y51" s="7"/>
      <c r="Z51" s="45"/>
      <c r="AA51" s="45"/>
      <c r="AB51" s="7"/>
      <c r="AC51" s="45"/>
      <c r="AD51" s="45"/>
      <c r="AE51" s="7"/>
      <c r="AF51" s="45"/>
      <c r="AG51" s="45"/>
      <c r="AH51" s="7"/>
      <c r="AI51" s="45"/>
      <c r="AJ51" s="45"/>
      <c r="AK51" s="7"/>
      <c r="AL51" s="45"/>
      <c r="AM51" s="45"/>
      <c r="AN51" s="7"/>
      <c r="AO51" s="45"/>
      <c r="AP51" s="45"/>
      <c r="AQ51" s="7"/>
      <c r="AR51" s="45"/>
      <c r="AS51" s="45"/>
      <c r="AT51" s="7"/>
      <c r="AU51" s="45"/>
      <c r="AV51" s="45"/>
      <c r="AW51" s="7"/>
      <c r="AX51" s="45"/>
      <c r="AY51" s="45"/>
      <c r="AZ51" s="7"/>
      <c r="BA51" s="45"/>
      <c r="BB51" s="45"/>
      <c r="BC51" s="7"/>
      <c r="BD51" s="45"/>
      <c r="BE51" s="45"/>
      <c r="BF51" s="7"/>
      <c r="BG51" s="45"/>
      <c r="BH51" s="45"/>
      <c r="BI51" s="7"/>
      <c r="BJ51" s="45"/>
      <c r="BK51" s="45"/>
      <c r="BL51" s="7"/>
      <c r="BM51" s="45"/>
      <c r="BN51" s="45"/>
      <c r="BO51" s="7"/>
      <c r="BP51" s="45"/>
      <c r="BQ51" s="45"/>
      <c r="BR51" s="7"/>
      <c r="BS51" s="45"/>
      <c r="BT51" s="45"/>
      <c r="BU51" s="7"/>
      <c r="BV51" s="45"/>
      <c r="BW51" s="45"/>
      <c r="BX51" s="7"/>
      <c r="BY51" s="45"/>
      <c r="BZ51" s="45"/>
      <c r="CA51" s="7"/>
    </row>
    <row r="52" spans="1:79" ht="12.75" customHeight="1" x14ac:dyDescent="0.25">
      <c r="A52" s="45"/>
      <c r="B52" s="45"/>
      <c r="C52" s="45"/>
      <c r="D52" s="7"/>
      <c r="E52" s="45"/>
      <c r="F52" s="45"/>
      <c r="G52" s="7"/>
      <c r="H52" s="45"/>
      <c r="I52" s="45"/>
      <c r="J52" s="7"/>
      <c r="K52" s="45"/>
      <c r="L52" s="45"/>
      <c r="M52" s="7"/>
      <c r="N52" s="45"/>
      <c r="O52" s="45"/>
      <c r="P52" s="7"/>
      <c r="Q52" s="45"/>
      <c r="R52" s="45"/>
      <c r="S52" s="7"/>
      <c r="T52" s="45"/>
      <c r="U52" s="45"/>
      <c r="V52" s="7"/>
      <c r="W52" s="45"/>
      <c r="X52" s="45"/>
      <c r="Y52" s="7"/>
      <c r="Z52" s="45"/>
      <c r="AA52" s="45"/>
      <c r="AB52" s="7"/>
      <c r="AC52" s="45"/>
      <c r="AD52" s="45"/>
      <c r="AE52" s="7"/>
      <c r="AF52" s="45"/>
      <c r="AG52" s="45"/>
      <c r="AH52" s="7"/>
      <c r="AI52" s="45"/>
      <c r="AJ52" s="45"/>
      <c r="AK52" s="7"/>
      <c r="AL52" s="45"/>
      <c r="AM52" s="45"/>
      <c r="AN52" s="7"/>
      <c r="AO52" s="45"/>
      <c r="AP52" s="45"/>
      <c r="AQ52" s="7"/>
      <c r="AR52" s="45"/>
      <c r="AS52" s="45"/>
      <c r="AT52" s="7"/>
      <c r="AU52" s="45"/>
      <c r="AV52" s="45"/>
      <c r="AW52" s="7"/>
      <c r="AX52" s="45"/>
      <c r="AY52" s="45"/>
      <c r="AZ52" s="7"/>
      <c r="BA52" s="45"/>
      <c r="BB52" s="45"/>
      <c r="BC52" s="7"/>
      <c r="BD52" s="45"/>
      <c r="BE52" s="45"/>
      <c r="BF52" s="7"/>
      <c r="BG52" s="45"/>
      <c r="BH52" s="45"/>
      <c r="BI52" s="7"/>
      <c r="BJ52" s="45"/>
      <c r="BK52" s="45"/>
      <c r="BL52" s="7"/>
      <c r="BM52" s="45"/>
      <c r="BN52" s="45"/>
      <c r="BO52" s="7"/>
      <c r="BP52" s="45"/>
      <c r="BQ52" s="45"/>
      <c r="BR52" s="7"/>
      <c r="BS52" s="45"/>
      <c r="BT52" s="45"/>
      <c r="BU52" s="7"/>
      <c r="BV52" s="45"/>
      <c r="BW52" s="45"/>
      <c r="BX52" s="7"/>
      <c r="BY52" s="45"/>
      <c r="BZ52" s="45"/>
      <c r="CA52" s="7"/>
    </row>
    <row r="53" spans="1:79" ht="12.75" customHeight="1" x14ac:dyDescent="0.3">
      <c r="A53" s="45"/>
      <c r="B53" s="45"/>
      <c r="C53" s="45"/>
      <c r="D53" s="7"/>
      <c r="E53" s="957" t="s">
        <v>134</v>
      </c>
      <c r="F53" s="957"/>
      <c r="G53" s="7"/>
      <c r="H53" s="45"/>
      <c r="I53" s="45"/>
      <c r="J53" s="7"/>
      <c r="K53" s="45"/>
      <c r="L53" s="45"/>
      <c r="M53" s="7"/>
      <c r="N53" s="45"/>
      <c r="O53" s="45"/>
      <c r="P53" s="7"/>
      <c r="Q53" s="45"/>
      <c r="R53" s="45"/>
      <c r="S53" s="7"/>
      <c r="T53" s="45"/>
      <c r="U53" s="45"/>
      <c r="V53" s="7"/>
      <c r="W53" s="45"/>
      <c r="X53" s="45"/>
      <c r="Y53" s="7"/>
      <c r="Z53" s="45"/>
      <c r="AA53" s="45"/>
      <c r="AB53" s="7"/>
      <c r="AC53" s="45"/>
      <c r="AD53" s="45"/>
      <c r="AE53" s="7"/>
      <c r="AF53" s="45"/>
      <c r="AG53" s="45"/>
      <c r="AH53" s="7"/>
      <c r="AI53" s="45"/>
      <c r="AJ53" s="45"/>
      <c r="AK53" s="7"/>
      <c r="AL53" s="45"/>
      <c r="AM53" s="45"/>
      <c r="AN53" s="7"/>
      <c r="AO53" s="45"/>
      <c r="AP53" s="45"/>
      <c r="AQ53" s="7"/>
      <c r="AR53" s="45"/>
      <c r="AS53" s="45"/>
      <c r="AT53" s="7"/>
      <c r="AU53" s="45"/>
      <c r="AV53" s="45"/>
      <c r="AW53" s="7"/>
      <c r="AX53" s="45"/>
      <c r="AY53" s="45"/>
      <c r="AZ53" s="7"/>
      <c r="BA53" s="45"/>
      <c r="BB53" s="45"/>
      <c r="BC53" s="7"/>
      <c r="BD53" s="45"/>
      <c r="BE53" s="45"/>
      <c r="BF53" s="7"/>
      <c r="BG53" s="45"/>
      <c r="BH53" s="45"/>
      <c r="BI53" s="7"/>
      <c r="BJ53" s="45"/>
      <c r="BK53" s="45"/>
      <c r="BL53" s="7"/>
      <c r="BM53" s="45"/>
      <c r="BN53" s="45"/>
      <c r="BO53" s="7"/>
      <c r="BP53" s="45"/>
      <c r="BQ53" s="45"/>
      <c r="BR53" s="7"/>
      <c r="BS53" s="45"/>
      <c r="BT53" s="45"/>
      <c r="BU53" s="7"/>
      <c r="BV53" s="45"/>
      <c r="BW53" s="45"/>
      <c r="BX53" s="7"/>
      <c r="BY53" s="45"/>
      <c r="BZ53" s="45"/>
      <c r="CA53" s="7"/>
    </row>
    <row r="54" spans="1:79" ht="12.75" customHeight="1" x14ac:dyDescent="0.25">
      <c r="A54" s="45"/>
      <c r="B54" s="45"/>
      <c r="C54" s="45"/>
      <c r="D54" s="7"/>
      <c r="E54" s="808" t="s">
        <v>135</v>
      </c>
      <c r="F54" s="809">
        <v>261.58999999999997</v>
      </c>
      <c r="G54" s="7"/>
      <c r="H54" s="45"/>
      <c r="I54" s="45"/>
      <c r="J54" s="7"/>
      <c r="K54" s="45"/>
      <c r="L54" s="45"/>
      <c r="M54" s="7"/>
      <c r="N54" s="45"/>
      <c r="O54" s="45"/>
      <c r="P54" s="7"/>
      <c r="Q54" s="45"/>
      <c r="R54" s="45"/>
      <c r="S54" s="7"/>
      <c r="T54" s="45"/>
      <c r="U54" s="45"/>
      <c r="V54" s="7"/>
      <c r="W54" s="45"/>
      <c r="X54" s="45"/>
      <c r="Y54" s="7"/>
      <c r="Z54" s="45"/>
      <c r="AA54" s="45"/>
      <c r="AB54" s="7"/>
      <c r="AC54" s="45"/>
      <c r="AD54" s="45"/>
      <c r="AE54" s="7"/>
      <c r="AF54" s="45"/>
      <c r="AG54" s="45"/>
      <c r="AH54" s="7"/>
      <c r="AI54" s="45"/>
      <c r="AJ54" s="45"/>
      <c r="AK54" s="7"/>
      <c r="AL54" s="45"/>
      <c r="AM54" s="45"/>
      <c r="AN54" s="7"/>
      <c r="AO54" s="45"/>
      <c r="AP54" s="45"/>
      <c r="AQ54" s="7"/>
      <c r="AR54" s="45"/>
      <c r="AS54" s="45"/>
      <c r="AT54" s="7"/>
      <c r="AU54" s="45"/>
      <c r="AV54" s="45"/>
      <c r="AW54" s="7"/>
      <c r="AX54" s="45"/>
      <c r="AY54" s="45"/>
      <c r="AZ54" s="7"/>
      <c r="BA54" s="45"/>
      <c r="BB54" s="45"/>
      <c r="BC54" s="7"/>
      <c r="BD54" s="45"/>
      <c r="BE54" s="45"/>
      <c r="BF54" s="7"/>
      <c r="BG54" s="45"/>
      <c r="BH54" s="45"/>
      <c r="BI54" s="7"/>
      <c r="BJ54" s="45"/>
      <c r="BK54" s="45"/>
      <c r="BL54" s="7"/>
      <c r="BM54" s="45"/>
      <c r="BN54" s="45"/>
      <c r="BO54" s="7"/>
      <c r="BP54" s="45"/>
      <c r="BQ54" s="45"/>
      <c r="BR54" s="7"/>
      <c r="BS54" s="45"/>
      <c r="BT54" s="45"/>
      <c r="BU54" s="7"/>
      <c r="BV54" s="45"/>
      <c r="BW54" s="45"/>
      <c r="BX54" s="7"/>
      <c r="BY54" s="45"/>
      <c r="BZ54" s="45"/>
      <c r="CA54" s="7"/>
    </row>
    <row r="55" spans="1:79" ht="12.75" customHeight="1" x14ac:dyDescent="0.25">
      <c r="A55" s="45"/>
      <c r="B55" s="45"/>
      <c r="C55" s="45"/>
      <c r="D55" s="7"/>
      <c r="E55" s="808" t="s">
        <v>136</v>
      </c>
      <c r="F55" s="809">
        <v>465.3</v>
      </c>
      <c r="G55" s="7"/>
      <c r="H55" s="45"/>
      <c r="I55" s="45"/>
      <c r="J55" s="7"/>
      <c r="K55" s="45"/>
      <c r="L55" s="45"/>
      <c r="M55" s="7"/>
      <c r="N55" s="45"/>
      <c r="O55" s="45"/>
      <c r="P55" s="7"/>
      <c r="Q55" s="45"/>
      <c r="R55" s="45"/>
      <c r="S55" s="7"/>
      <c r="T55" s="45"/>
      <c r="U55" s="45"/>
      <c r="V55" s="7"/>
      <c r="W55" s="45"/>
      <c r="X55" s="45"/>
      <c r="Y55" s="7"/>
      <c r="Z55" s="45"/>
      <c r="AA55" s="45"/>
      <c r="AB55" s="7"/>
      <c r="AC55" s="45"/>
      <c r="AD55" s="45"/>
      <c r="AE55" s="7"/>
      <c r="AF55" s="45"/>
      <c r="AG55" s="45"/>
      <c r="AH55" s="7"/>
      <c r="AI55" s="45"/>
      <c r="AJ55" s="45"/>
      <c r="AK55" s="7"/>
      <c r="AL55" s="45"/>
      <c r="AM55" s="45"/>
      <c r="AN55" s="7"/>
      <c r="AO55" s="45"/>
      <c r="AP55" s="45"/>
      <c r="AQ55" s="7"/>
      <c r="AR55" s="45"/>
      <c r="AS55" s="45"/>
      <c r="AT55" s="7"/>
      <c r="AU55" s="45"/>
      <c r="AV55" s="45"/>
      <c r="AW55" s="7"/>
      <c r="AX55" s="45"/>
      <c r="AY55" s="45"/>
      <c r="AZ55" s="7"/>
      <c r="BA55" s="45"/>
      <c r="BB55" s="45"/>
      <c r="BC55" s="7"/>
      <c r="BD55" s="45"/>
      <c r="BE55" s="45"/>
      <c r="BF55" s="7"/>
      <c r="BG55" s="45"/>
      <c r="BH55" s="45"/>
      <c r="BI55" s="7"/>
      <c r="BJ55" s="45"/>
      <c r="BK55" s="45"/>
      <c r="BL55" s="7"/>
      <c r="BM55" s="45"/>
      <c r="BN55" s="45"/>
      <c r="BO55" s="7"/>
      <c r="BP55" s="45"/>
      <c r="BQ55" s="45"/>
      <c r="BR55" s="7"/>
      <c r="BS55" s="45"/>
      <c r="BT55" s="45"/>
      <c r="BU55" s="7"/>
      <c r="BV55" s="45"/>
      <c r="BW55" s="45"/>
      <c r="BX55" s="7"/>
      <c r="BY55" s="45"/>
      <c r="BZ55" s="45"/>
      <c r="CA55" s="7"/>
    </row>
    <row r="56" spans="1:79" ht="12.75" customHeight="1" x14ac:dyDescent="0.25">
      <c r="A56" s="45"/>
      <c r="B56" s="45"/>
      <c r="C56" s="45"/>
      <c r="D56" s="7"/>
      <c r="E56" s="808" t="s">
        <v>137</v>
      </c>
      <c r="F56" s="809">
        <v>20.149999999999999</v>
      </c>
      <c r="G56" s="7"/>
      <c r="H56" s="45"/>
      <c r="I56" s="45"/>
      <c r="J56" s="7"/>
      <c r="K56" s="45"/>
      <c r="L56" s="45"/>
      <c r="M56" s="7"/>
      <c r="N56" s="45"/>
      <c r="O56" s="45"/>
      <c r="P56" s="7"/>
      <c r="Q56" s="45"/>
      <c r="R56" s="45"/>
      <c r="S56" s="7"/>
      <c r="T56" s="45"/>
      <c r="U56" s="45"/>
      <c r="V56" s="7"/>
      <c r="W56" s="45"/>
      <c r="X56" s="45"/>
      <c r="Y56" s="7"/>
      <c r="Z56" s="45"/>
      <c r="AA56" s="45"/>
      <c r="AB56" s="7"/>
      <c r="AC56" s="45"/>
      <c r="AD56" s="45"/>
      <c r="AE56" s="7"/>
      <c r="AF56" s="45"/>
      <c r="AG56" s="45"/>
      <c r="AH56" s="7"/>
      <c r="AI56" s="45"/>
      <c r="AJ56" s="45"/>
      <c r="AK56" s="7"/>
      <c r="AL56" s="45"/>
      <c r="AM56" s="45"/>
      <c r="AN56" s="7"/>
      <c r="AO56" s="45"/>
      <c r="AP56" s="45"/>
      <c r="AQ56" s="7"/>
      <c r="AR56" s="45"/>
      <c r="AS56" s="45"/>
      <c r="AT56" s="7"/>
      <c r="AU56" s="45"/>
      <c r="AV56" s="45"/>
      <c r="AW56" s="7"/>
      <c r="AX56" s="45"/>
      <c r="AY56" s="45"/>
      <c r="AZ56" s="7"/>
      <c r="BA56" s="45"/>
      <c r="BB56" s="45"/>
      <c r="BC56" s="7"/>
      <c r="BD56" s="45"/>
      <c r="BE56" s="45"/>
      <c r="BF56" s="7"/>
      <c r="BG56" s="45"/>
      <c r="BH56" s="45"/>
      <c r="BI56" s="7"/>
      <c r="BJ56" s="45"/>
      <c r="BK56" s="45"/>
      <c r="BL56" s="7"/>
      <c r="BM56" s="45"/>
      <c r="BN56" s="45"/>
      <c r="BO56" s="7"/>
      <c r="BP56" s="45"/>
      <c r="BQ56" s="45"/>
      <c r="BR56" s="7"/>
      <c r="BS56" s="45"/>
      <c r="BT56" s="45"/>
      <c r="BU56" s="7"/>
      <c r="BV56" s="45"/>
      <c r="BW56" s="45"/>
      <c r="BX56" s="7"/>
      <c r="BY56" s="45"/>
      <c r="BZ56" s="45"/>
      <c r="CA56" s="7"/>
    </row>
    <row r="57" spans="1:79" ht="12.75" customHeight="1" x14ac:dyDescent="0.25">
      <c r="A57" s="7"/>
      <c r="B57" s="45"/>
      <c r="C57" s="45"/>
      <c r="D57" s="7"/>
      <c r="E57" s="808" t="s">
        <v>138</v>
      </c>
      <c r="F57" s="809">
        <v>387.2</v>
      </c>
      <c r="G57" s="7"/>
      <c r="H57" s="45">
        <f>F57*36</f>
        <v>13939.199999999999</v>
      </c>
      <c r="I57" s="45"/>
      <c r="J57" s="7"/>
      <c r="K57" s="45"/>
      <c r="L57" s="45"/>
      <c r="M57" s="7"/>
      <c r="N57" s="45"/>
      <c r="O57" s="45"/>
      <c r="P57" s="7"/>
      <c r="Q57" s="45"/>
      <c r="R57" s="45"/>
      <c r="S57" s="7"/>
      <c r="T57" s="45"/>
      <c r="U57" s="45"/>
      <c r="V57" s="7"/>
      <c r="W57" s="45"/>
      <c r="X57" s="45"/>
      <c r="Y57" s="7"/>
      <c r="Z57" s="45"/>
      <c r="AA57" s="45"/>
      <c r="AB57" s="7"/>
      <c r="AC57" s="45"/>
      <c r="AD57" s="45"/>
      <c r="AE57" s="7"/>
      <c r="AF57" s="45"/>
      <c r="AG57" s="45"/>
      <c r="AH57" s="7"/>
      <c r="AI57" s="45"/>
      <c r="AJ57" s="45"/>
      <c r="AK57" s="7"/>
      <c r="AL57" s="45"/>
      <c r="AM57" s="45"/>
      <c r="AN57" s="7"/>
      <c r="AO57" s="45"/>
      <c r="AP57" s="45"/>
      <c r="AQ57" s="7"/>
      <c r="AR57" s="45"/>
      <c r="AS57" s="45"/>
      <c r="AT57" s="7"/>
      <c r="AU57" s="45"/>
      <c r="AV57" s="45"/>
      <c r="AW57" s="7"/>
      <c r="AX57" s="45"/>
      <c r="AY57" s="45"/>
      <c r="AZ57" s="7"/>
      <c r="BA57" s="45"/>
      <c r="BB57" s="45"/>
      <c r="BC57" s="7"/>
      <c r="BD57" s="45"/>
      <c r="BE57" s="45"/>
      <c r="BF57" s="7"/>
      <c r="BG57" s="45"/>
      <c r="BH57" s="45"/>
      <c r="BI57" s="7"/>
      <c r="BJ57" s="45"/>
      <c r="BK57" s="45"/>
      <c r="BL57" s="7"/>
      <c r="BM57" s="45"/>
      <c r="BN57" s="45"/>
      <c r="BO57" s="7"/>
      <c r="BP57" s="45"/>
      <c r="BQ57" s="45"/>
      <c r="BR57" s="7"/>
      <c r="BS57" s="45"/>
      <c r="BT57" s="45"/>
      <c r="BU57" s="7"/>
      <c r="BV57" s="45"/>
      <c r="BW57" s="45"/>
      <c r="BX57" s="7"/>
      <c r="BY57" s="45"/>
      <c r="BZ57" s="45"/>
      <c r="CA57" s="7"/>
    </row>
    <row r="58" spans="1:79" ht="12.75" customHeight="1" x14ac:dyDescent="0.25">
      <c r="A58" s="7"/>
      <c r="B58" s="45"/>
      <c r="C58" s="45"/>
      <c r="D58" s="7"/>
      <c r="E58" s="808" t="s">
        <v>139</v>
      </c>
      <c r="F58" s="809">
        <v>14.93</v>
      </c>
      <c r="G58" s="7"/>
      <c r="H58" s="45"/>
      <c r="I58" s="45"/>
      <c r="J58" s="7"/>
      <c r="K58" s="45"/>
      <c r="L58" s="45"/>
      <c r="M58" s="7"/>
      <c r="N58" s="45"/>
      <c r="O58" s="45"/>
      <c r="P58" s="7"/>
      <c r="Q58" s="45"/>
      <c r="R58" s="45"/>
      <c r="S58" s="7"/>
      <c r="T58" s="45"/>
      <c r="U58" s="45"/>
      <c r="V58" s="7"/>
      <c r="W58" s="45"/>
      <c r="X58" s="45"/>
      <c r="Y58" s="7"/>
      <c r="Z58" s="45"/>
      <c r="AA58" s="45"/>
      <c r="AB58" s="7"/>
      <c r="AC58" s="45"/>
      <c r="AD58" s="45"/>
      <c r="AE58" s="7"/>
      <c r="AF58" s="45"/>
      <c r="AG58" s="45"/>
      <c r="AH58" s="7"/>
      <c r="AI58" s="45"/>
      <c r="AJ58" s="45"/>
      <c r="AK58" s="7"/>
      <c r="AL58" s="45"/>
      <c r="AM58" s="45"/>
      <c r="AN58" s="7"/>
      <c r="AO58" s="45"/>
      <c r="AP58" s="45"/>
      <c r="AQ58" s="7"/>
      <c r="AR58" s="45"/>
      <c r="AS58" s="45"/>
      <c r="AT58" s="7"/>
      <c r="AU58" s="45"/>
      <c r="AV58" s="45"/>
      <c r="AW58" s="7"/>
      <c r="AX58" s="45"/>
      <c r="AY58" s="45"/>
      <c r="AZ58" s="7"/>
      <c r="BA58" s="45"/>
      <c r="BB58" s="45"/>
      <c r="BC58" s="7"/>
      <c r="BD58" s="45"/>
      <c r="BE58" s="45"/>
      <c r="BF58" s="7"/>
      <c r="BG58" s="45"/>
      <c r="BH58" s="45"/>
      <c r="BI58" s="7"/>
      <c r="BJ58" s="45"/>
      <c r="BK58" s="45"/>
      <c r="BL58" s="7"/>
      <c r="BM58" s="45"/>
      <c r="BN58" s="45"/>
      <c r="BO58" s="7"/>
      <c r="BP58" s="45"/>
      <c r="BQ58" s="45"/>
      <c r="BR58" s="7"/>
      <c r="BS58" s="45"/>
      <c r="BT58" s="45"/>
      <c r="BU58" s="7"/>
      <c r="BV58" s="45"/>
      <c r="BW58" s="45"/>
      <c r="BX58" s="7"/>
      <c r="BY58" s="45"/>
      <c r="BZ58" s="45"/>
      <c r="CA58" s="7"/>
    </row>
    <row r="59" spans="1:79" ht="12.75" customHeight="1" x14ac:dyDescent="0.25">
      <c r="A59" s="7"/>
      <c r="B59" s="45"/>
      <c r="C59" s="45"/>
      <c r="D59" s="7"/>
      <c r="E59" s="808" t="s">
        <v>140</v>
      </c>
      <c r="F59" s="809">
        <v>73.900000000000006</v>
      </c>
      <c r="G59" s="7"/>
      <c r="H59" s="45"/>
      <c r="I59" s="45"/>
      <c r="J59" s="7"/>
      <c r="K59" s="45"/>
      <c r="L59" s="45"/>
      <c r="M59" s="7"/>
      <c r="N59" s="45"/>
      <c r="O59" s="45"/>
      <c r="P59" s="7"/>
      <c r="Q59" s="45"/>
      <c r="R59" s="45"/>
      <c r="S59" s="7"/>
      <c r="T59" s="45"/>
      <c r="U59" s="45"/>
      <c r="V59" s="7"/>
      <c r="W59" s="45"/>
      <c r="X59" s="45"/>
      <c r="Y59" s="7"/>
      <c r="Z59" s="45"/>
      <c r="AA59" s="45"/>
      <c r="AB59" s="7"/>
      <c r="AC59" s="45"/>
      <c r="AD59" s="45"/>
      <c r="AE59" s="7"/>
      <c r="AF59" s="45"/>
      <c r="AG59" s="45"/>
      <c r="AH59" s="7"/>
      <c r="AI59" s="45"/>
      <c r="AJ59" s="45"/>
      <c r="AK59" s="7"/>
      <c r="AL59" s="45"/>
      <c r="AM59" s="45"/>
      <c r="AN59" s="7"/>
      <c r="AO59" s="45"/>
      <c r="AP59" s="45"/>
      <c r="AQ59" s="7"/>
      <c r="AR59" s="45"/>
      <c r="AS59" s="45"/>
      <c r="AT59" s="7"/>
      <c r="AU59" s="45"/>
      <c r="AV59" s="45"/>
      <c r="AW59" s="7"/>
      <c r="AX59" s="45"/>
      <c r="AY59" s="45"/>
      <c r="AZ59" s="7"/>
      <c r="BA59" s="45"/>
      <c r="BB59" s="45"/>
      <c r="BC59" s="7"/>
      <c r="BD59" s="45"/>
      <c r="BE59" s="45"/>
      <c r="BF59" s="7"/>
      <c r="BG59" s="45"/>
      <c r="BH59" s="45"/>
      <c r="BI59" s="7"/>
      <c r="BJ59" s="45"/>
      <c r="BK59" s="45"/>
      <c r="BL59" s="7"/>
      <c r="BM59" s="45"/>
      <c r="BN59" s="45"/>
      <c r="BO59" s="7"/>
      <c r="BP59" s="45"/>
      <c r="BQ59" s="45"/>
      <c r="BR59" s="7"/>
      <c r="BS59" s="45"/>
      <c r="BT59" s="45"/>
      <c r="BU59" s="7"/>
      <c r="BV59" s="45"/>
      <c r="BW59" s="45"/>
      <c r="BX59" s="7"/>
      <c r="BY59" s="45"/>
      <c r="BZ59" s="45"/>
      <c r="CA59" s="7"/>
    </row>
    <row r="60" spans="1:79" ht="12.75" customHeight="1" x14ac:dyDescent="0.25">
      <c r="A60" s="7"/>
      <c r="B60" s="45"/>
      <c r="C60" s="45"/>
      <c r="D60" s="7"/>
      <c r="E60" s="808" t="s">
        <v>141</v>
      </c>
      <c r="F60" s="809">
        <v>26.49</v>
      </c>
      <c r="G60" s="7"/>
      <c r="H60" s="45"/>
      <c r="I60" s="45"/>
      <c r="J60" s="7"/>
      <c r="K60" s="45"/>
      <c r="L60" s="45"/>
      <c r="M60" s="7"/>
      <c r="N60" s="45"/>
      <c r="O60" s="45"/>
      <c r="P60" s="7"/>
      <c r="Q60" s="45"/>
      <c r="R60" s="45"/>
      <c r="S60" s="7"/>
      <c r="T60" s="45"/>
      <c r="U60" s="45"/>
      <c r="V60" s="7"/>
      <c r="W60" s="45"/>
      <c r="X60" s="45"/>
      <c r="Y60" s="7"/>
      <c r="Z60" s="45"/>
      <c r="AA60" s="45"/>
      <c r="AB60" s="7"/>
      <c r="AC60" s="45"/>
      <c r="AD60" s="45"/>
      <c r="AE60" s="7"/>
      <c r="AF60" s="45"/>
      <c r="AG60" s="45"/>
      <c r="AH60" s="7"/>
      <c r="AI60" s="45"/>
      <c r="AJ60" s="45"/>
      <c r="AK60" s="7"/>
      <c r="AL60" s="45"/>
      <c r="AM60" s="45"/>
      <c r="AN60" s="7"/>
      <c r="AO60" s="45"/>
      <c r="AP60" s="45"/>
      <c r="AQ60" s="7"/>
      <c r="AR60" s="45"/>
      <c r="AS60" s="45"/>
      <c r="AT60" s="7"/>
      <c r="AU60" s="45"/>
      <c r="AV60" s="45"/>
      <c r="AW60" s="7"/>
      <c r="AX60" s="45"/>
      <c r="AY60" s="45"/>
      <c r="AZ60" s="7"/>
      <c r="BA60" s="45"/>
      <c r="BB60" s="45"/>
      <c r="BC60" s="7"/>
      <c r="BD60" s="45"/>
      <c r="BE60" s="45"/>
      <c r="BF60" s="7"/>
      <c r="BG60" s="45"/>
      <c r="BH60" s="45"/>
      <c r="BI60" s="7"/>
      <c r="BJ60" s="45"/>
      <c r="BK60" s="45"/>
      <c r="BL60" s="7"/>
      <c r="BM60" s="45"/>
      <c r="BN60" s="45"/>
      <c r="BO60" s="7"/>
      <c r="BP60" s="45"/>
      <c r="BQ60" s="45"/>
      <c r="BR60" s="7"/>
      <c r="BS60" s="45"/>
      <c r="BT60" s="45"/>
      <c r="BU60" s="7"/>
      <c r="BV60" s="45"/>
      <c r="BW60" s="45"/>
      <c r="BX60" s="7"/>
      <c r="BY60" s="45"/>
      <c r="BZ60" s="45"/>
      <c r="CA60" s="7"/>
    </row>
    <row r="61" spans="1:79" ht="12.75" customHeight="1" x14ac:dyDescent="0.3">
      <c r="A61" s="7"/>
      <c r="B61" s="45"/>
      <c r="C61" s="45"/>
      <c r="D61" s="7"/>
      <c r="E61" s="810" t="s">
        <v>142</v>
      </c>
      <c r="F61" s="811">
        <f>SUM(F54:F60)</f>
        <v>1249.5600000000002</v>
      </c>
      <c r="G61" s="7"/>
      <c r="H61" s="45"/>
      <c r="I61" s="45"/>
      <c r="J61" s="7"/>
      <c r="K61" s="45"/>
      <c r="L61" s="45"/>
      <c r="M61" s="7"/>
      <c r="N61" s="45"/>
      <c r="O61" s="45"/>
      <c r="P61" s="7"/>
      <c r="Q61" s="45"/>
      <c r="R61" s="45"/>
      <c r="S61" s="7"/>
      <c r="T61" s="45"/>
      <c r="U61" s="45"/>
      <c r="V61" s="7"/>
      <c r="W61" s="45"/>
      <c r="X61" s="45"/>
      <c r="Y61" s="7"/>
      <c r="Z61" s="45"/>
      <c r="AA61" s="45"/>
      <c r="AB61" s="7"/>
      <c r="AC61" s="45"/>
      <c r="AD61" s="45"/>
      <c r="AE61" s="7"/>
      <c r="AF61" s="45"/>
      <c r="AG61" s="45"/>
      <c r="AH61" s="7"/>
      <c r="AI61" s="45"/>
      <c r="AJ61" s="45"/>
      <c r="AK61" s="7"/>
      <c r="AL61" s="45"/>
      <c r="AM61" s="45"/>
      <c r="AN61" s="7"/>
      <c r="AO61" s="45"/>
      <c r="AP61" s="45"/>
      <c r="AQ61" s="7"/>
      <c r="AR61" s="45"/>
      <c r="AS61" s="45"/>
      <c r="AT61" s="7"/>
      <c r="AU61" s="45"/>
      <c r="AV61" s="45"/>
      <c r="AW61" s="7"/>
      <c r="AX61" s="45"/>
      <c r="AY61" s="45"/>
      <c r="AZ61" s="7"/>
      <c r="BA61" s="45"/>
      <c r="BB61" s="45"/>
      <c r="BC61" s="7"/>
      <c r="BD61" s="45"/>
      <c r="BE61" s="45"/>
      <c r="BF61" s="7"/>
      <c r="BG61" s="45"/>
      <c r="BH61" s="45"/>
      <c r="BI61" s="7"/>
      <c r="BJ61" s="45"/>
      <c r="BK61" s="45"/>
      <c r="BL61" s="7"/>
      <c r="BM61" s="45"/>
      <c r="BN61" s="45"/>
      <c r="BO61" s="7"/>
      <c r="BP61" s="45"/>
      <c r="BQ61" s="45"/>
      <c r="BR61" s="7"/>
      <c r="BS61" s="45"/>
      <c r="BT61" s="45"/>
      <c r="BU61" s="7"/>
      <c r="BV61" s="45"/>
      <c r="BW61" s="45"/>
      <c r="BX61" s="7"/>
      <c r="BY61" s="45"/>
      <c r="BZ61" s="45"/>
      <c r="CA61" s="7"/>
    </row>
    <row r="62" spans="1:79" ht="12.75" customHeight="1" x14ac:dyDescent="0.25">
      <c r="A62" s="7"/>
      <c r="B62" s="45"/>
      <c r="C62" s="45"/>
      <c r="D62" s="7"/>
      <c r="E62" s="808" t="s">
        <v>143</v>
      </c>
      <c r="F62" s="812">
        <v>0</v>
      </c>
      <c r="G62" s="7"/>
      <c r="H62" s="45"/>
      <c r="I62" s="45"/>
      <c r="J62" s="7"/>
      <c r="K62" s="45"/>
      <c r="L62" s="45"/>
      <c r="M62" s="7"/>
      <c r="N62" s="45"/>
      <c r="O62" s="45"/>
      <c r="P62" s="7"/>
      <c r="Q62" s="45"/>
      <c r="R62" s="45"/>
      <c r="S62" s="7"/>
      <c r="T62" s="45"/>
      <c r="U62" s="45"/>
      <c r="V62" s="7"/>
      <c r="W62" s="45"/>
      <c r="X62" s="45"/>
      <c r="Y62" s="7"/>
      <c r="Z62" s="45"/>
      <c r="AA62" s="45"/>
      <c r="AB62" s="7"/>
      <c r="AC62" s="45"/>
      <c r="AD62" s="45"/>
      <c r="AE62" s="7"/>
      <c r="AF62" s="45"/>
      <c r="AG62" s="45"/>
      <c r="AH62" s="7"/>
      <c r="AI62" s="45"/>
      <c r="AJ62" s="45"/>
      <c r="AK62" s="7"/>
      <c r="AL62" s="45"/>
      <c r="AM62" s="45"/>
      <c r="AN62" s="7"/>
      <c r="AO62" s="45"/>
      <c r="AP62" s="45"/>
      <c r="AQ62" s="7"/>
      <c r="AR62" s="45"/>
      <c r="AS62" s="45"/>
      <c r="AT62" s="7"/>
      <c r="AU62" s="45"/>
      <c r="AV62" s="45"/>
      <c r="AW62" s="7"/>
      <c r="AX62" s="45"/>
      <c r="AY62" s="45"/>
      <c r="AZ62" s="7"/>
      <c r="BA62" s="45"/>
      <c r="BB62" s="45"/>
      <c r="BC62" s="7"/>
      <c r="BD62" s="45"/>
      <c r="BE62" s="45"/>
      <c r="BF62" s="7"/>
      <c r="BG62" s="45"/>
      <c r="BH62" s="45"/>
      <c r="BI62" s="7"/>
      <c r="BJ62" s="45"/>
      <c r="BK62" s="45"/>
      <c r="BL62" s="7"/>
      <c r="BM62" s="45"/>
      <c r="BN62" s="45"/>
      <c r="BO62" s="7"/>
      <c r="BP62" s="45"/>
      <c r="BQ62" s="45"/>
      <c r="BR62" s="7"/>
      <c r="BS62" s="45"/>
      <c r="BT62" s="45"/>
      <c r="BU62" s="7"/>
      <c r="BV62" s="45"/>
      <c r="BW62" s="45"/>
      <c r="BX62" s="7"/>
      <c r="BY62" s="45"/>
      <c r="BZ62" s="45"/>
      <c r="CA62" s="7"/>
    </row>
  </sheetData>
  <mergeCells count="33">
    <mergeCell ref="A7:B7"/>
    <mergeCell ref="D7:F7"/>
    <mergeCell ref="G7:I7"/>
    <mergeCell ref="B3:I3"/>
    <mergeCell ref="B4:I4"/>
    <mergeCell ref="B5:I5"/>
    <mergeCell ref="J7:L7"/>
    <mergeCell ref="M7:O7"/>
    <mergeCell ref="P7:R7"/>
    <mergeCell ref="S7:U7"/>
    <mergeCell ref="V7:X7"/>
    <mergeCell ref="AZ7:BB7"/>
    <mergeCell ref="Y7:AA7"/>
    <mergeCell ref="AB7:AD7"/>
    <mergeCell ref="AE7:AG7"/>
    <mergeCell ref="AH7:AJ7"/>
    <mergeCell ref="AK7:AM7"/>
    <mergeCell ref="A26:C26"/>
    <mergeCell ref="E53:F53"/>
    <mergeCell ref="BR7:BT7"/>
    <mergeCell ref="BU7:BW7"/>
    <mergeCell ref="BX7:BZ7"/>
    <mergeCell ref="A9:F9"/>
    <mergeCell ref="S9:U9"/>
    <mergeCell ref="BC7:BE7"/>
    <mergeCell ref="BF7:BH7"/>
    <mergeCell ref="BI7:BK7"/>
    <mergeCell ref="BL7:BN7"/>
    <mergeCell ref="BO7:BQ7"/>
    <mergeCell ref="AN7:AP7"/>
    <mergeCell ref="AQ7:AS7"/>
    <mergeCell ref="AT7:AV7"/>
    <mergeCell ref="AW7:AY7"/>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3:J82"/>
  <sheetViews>
    <sheetView topLeftCell="A32" workbookViewId="0">
      <selection activeCell="A32" sqref="A32"/>
    </sheetView>
  </sheetViews>
  <sheetFormatPr defaultRowHeight="12.5" x14ac:dyDescent="0.25"/>
  <cols>
    <col min="1" max="1" width="10" customWidth="1"/>
    <col min="2" max="2" width="10.1796875" customWidth="1"/>
    <col min="3" max="3" width="32" customWidth="1"/>
    <col min="4" max="4" width="42.54296875" customWidth="1"/>
    <col min="5" max="5" width="22.453125" style="103" customWidth="1"/>
    <col min="6" max="6" width="20.26953125" customWidth="1"/>
    <col min="7" max="7" width="19.7265625" bestFit="1" customWidth="1"/>
    <col min="8" max="8" width="22.1796875" customWidth="1"/>
    <col min="9" max="9" width="23.26953125" customWidth="1"/>
    <col min="10" max="10" width="30.26953125" customWidth="1"/>
    <col min="11" max="11" width="13" customWidth="1"/>
    <col min="12" max="12" width="16" customWidth="1"/>
    <col min="13" max="18" width="8.7265625" customWidth="1"/>
    <col min="19" max="936" width="14.453125" customWidth="1"/>
    <col min="937" max="1025" width="11.54296875"/>
  </cols>
  <sheetData>
    <row r="3" spans="2:7" ht="12.75" customHeight="1" x14ac:dyDescent="0.35">
      <c r="B3" s="949" t="s">
        <v>70</v>
      </c>
      <c r="C3" s="949"/>
      <c r="D3" s="949"/>
      <c r="E3" s="949"/>
      <c r="F3" s="949"/>
      <c r="G3" s="949"/>
    </row>
    <row r="4" spans="2:7" ht="12.75" customHeight="1" x14ac:dyDescent="0.35">
      <c r="B4" s="950" t="s">
        <v>71</v>
      </c>
      <c r="C4" s="950"/>
      <c r="D4" s="950"/>
      <c r="E4" s="950"/>
      <c r="F4" s="950"/>
      <c r="G4" s="950"/>
    </row>
    <row r="5" spans="2:7" ht="12.75" customHeight="1" x14ac:dyDescent="0.35">
      <c r="B5" s="951"/>
      <c r="C5" s="951"/>
      <c r="D5" s="951"/>
      <c r="E5" s="951"/>
      <c r="F5" s="951"/>
      <c r="G5" s="951"/>
    </row>
    <row r="6" spans="2:7" ht="18" customHeight="1" x14ac:dyDescent="0.35">
      <c r="B6" s="105"/>
      <c r="C6" s="106"/>
      <c r="D6" s="106"/>
      <c r="E6" s="104"/>
      <c r="F6" s="107"/>
      <c r="G6" s="107"/>
    </row>
    <row r="7" spans="2:7" ht="18" customHeight="1" x14ac:dyDescent="0.35">
      <c r="B7" s="105"/>
      <c r="C7" s="106"/>
      <c r="D7" s="106"/>
      <c r="E7" s="104"/>
      <c r="F7" s="107"/>
      <c r="G7" s="107"/>
    </row>
    <row r="8" spans="2:7" ht="12.75" customHeight="1" x14ac:dyDescent="0.25">
      <c r="B8" s="7"/>
      <c r="C8" s="7"/>
      <c r="D8" s="7"/>
      <c r="E8" s="104"/>
      <c r="F8" s="7"/>
      <c r="G8" s="7"/>
    </row>
    <row r="9" spans="2:7" ht="12.75" customHeight="1" x14ac:dyDescent="0.35">
      <c r="B9" s="972" t="s">
        <v>144</v>
      </c>
      <c r="C9" s="972"/>
      <c r="D9" s="972"/>
      <c r="E9" s="972"/>
      <c r="F9" s="972"/>
      <c r="G9" s="972"/>
    </row>
    <row r="10" spans="2:7" ht="12.75" customHeight="1" x14ac:dyDescent="0.25">
      <c r="B10" s="7"/>
      <c r="C10" s="7"/>
      <c r="D10" s="7"/>
      <c r="E10" s="104"/>
      <c r="F10" s="7"/>
      <c r="G10" s="7"/>
    </row>
    <row r="11" spans="2:7" ht="12.75" customHeight="1" x14ac:dyDescent="0.25">
      <c r="B11" s="7"/>
      <c r="C11" s="7"/>
      <c r="D11" s="7"/>
      <c r="E11" s="104"/>
      <c r="F11" s="7"/>
      <c r="G11" s="7"/>
    </row>
    <row r="12" spans="2:7" ht="15" customHeight="1" x14ac:dyDescent="0.3">
      <c r="B12" s="108" t="s">
        <v>80</v>
      </c>
      <c r="C12" s="108" t="s">
        <v>145</v>
      </c>
      <c r="D12" s="108" t="s">
        <v>146</v>
      </c>
      <c r="E12" s="108" t="s">
        <v>147</v>
      </c>
      <c r="F12" s="104"/>
      <c r="G12" s="104"/>
    </row>
    <row r="13" spans="2:7" ht="15" customHeight="1" x14ac:dyDescent="0.3">
      <c r="B13" s="109" t="s">
        <v>148</v>
      </c>
      <c r="C13" s="110">
        <f>'Anexo II - Carga-demanda'!H30</f>
        <v>342.50351165962655</v>
      </c>
      <c r="D13" s="111">
        <f>C13*0.4</f>
        <v>137.00140466385062</v>
      </c>
      <c r="E13" s="111">
        <f>C13*0.35</f>
        <v>119.87622908086928</v>
      </c>
      <c r="F13" s="7"/>
      <c r="G13" s="7"/>
    </row>
    <row r="14" spans="2:7" ht="15" customHeight="1" x14ac:dyDescent="0.3">
      <c r="B14" s="109" t="s">
        <v>149</v>
      </c>
      <c r="C14" s="110">
        <f>'Anexo II - Carga-demanda'!H35</f>
        <v>370.7947431167745</v>
      </c>
      <c r="D14" s="111">
        <f t="shared" ref="D14:D15" si="0">C14*0.4</f>
        <v>148.3178972467098</v>
      </c>
      <c r="E14" s="111">
        <f t="shared" ref="E14:E15" si="1">C14*0.35</f>
        <v>129.77816009087107</v>
      </c>
      <c r="F14" s="7"/>
      <c r="G14" s="7"/>
    </row>
    <row r="15" spans="2:7" ht="15" customHeight="1" x14ac:dyDescent="0.3">
      <c r="B15" s="109" t="s">
        <v>150</v>
      </c>
      <c r="C15" s="110">
        <f>'Anexo II - Carga-demanda'!H45</f>
        <v>434.58091287083613</v>
      </c>
      <c r="D15" s="111">
        <f t="shared" si="0"/>
        <v>173.83236514833447</v>
      </c>
      <c r="E15" s="111">
        <f t="shared" si="1"/>
        <v>152.10331950479264</v>
      </c>
      <c r="F15" s="7"/>
      <c r="G15" s="7"/>
    </row>
    <row r="17" spans="2:9" ht="12.75" customHeight="1" x14ac:dyDescent="0.25">
      <c r="B17" s="973" t="s">
        <v>151</v>
      </c>
      <c r="C17" s="973"/>
      <c r="D17" s="7"/>
      <c r="E17" s="104"/>
      <c r="F17" s="7"/>
      <c r="G17" s="7"/>
      <c r="H17" s="7"/>
      <c r="I17" s="7"/>
    </row>
    <row r="18" spans="2:9" ht="12.75" customHeight="1" x14ac:dyDescent="0.25">
      <c r="B18" s="18"/>
      <c r="C18" s="18"/>
      <c r="D18" s="7"/>
      <c r="E18" s="104"/>
      <c r="F18" s="7"/>
      <c r="G18" s="7"/>
      <c r="H18" s="7"/>
      <c r="I18" s="7"/>
    </row>
    <row r="19" spans="2:9" ht="12.75" customHeight="1" x14ac:dyDescent="0.25">
      <c r="B19" s="7"/>
      <c r="C19" s="7"/>
      <c r="D19" s="7"/>
      <c r="E19" s="104"/>
      <c r="F19" s="7"/>
      <c r="G19" s="7"/>
      <c r="H19" s="7"/>
      <c r="I19" s="7"/>
    </row>
    <row r="20" spans="2:9" ht="12.75" customHeight="1" x14ac:dyDescent="0.25">
      <c r="B20" s="7"/>
      <c r="C20" s="7"/>
      <c r="D20" s="7"/>
      <c r="E20" s="7"/>
      <c r="F20" s="7"/>
      <c r="G20" s="7"/>
      <c r="H20" s="7"/>
      <c r="I20" s="7"/>
    </row>
    <row r="21" spans="2:9" ht="29.25" customHeight="1" x14ac:dyDescent="0.25">
      <c r="B21" s="7"/>
      <c r="C21" s="7"/>
      <c r="D21" s="7"/>
      <c r="E21" s="7"/>
      <c r="F21" s="7"/>
      <c r="G21" s="7"/>
      <c r="H21" s="7"/>
      <c r="I21" s="7"/>
    </row>
    <row r="22" spans="2:9" ht="15" customHeight="1" x14ac:dyDescent="0.25">
      <c r="B22" s="7"/>
      <c r="C22" s="7"/>
      <c r="D22" s="7"/>
      <c r="E22" s="7"/>
      <c r="F22" s="7"/>
      <c r="G22" s="7"/>
      <c r="H22" s="7"/>
      <c r="I22" s="7"/>
    </row>
    <row r="23" spans="2:9" ht="15" customHeight="1" x14ac:dyDescent="0.25">
      <c r="B23" s="7"/>
      <c r="C23" s="7"/>
      <c r="D23" s="7"/>
      <c r="E23" s="7"/>
      <c r="F23" s="7"/>
      <c r="G23" s="7"/>
      <c r="H23" s="7"/>
      <c r="I23" s="7"/>
    </row>
    <row r="24" spans="2:9" ht="15" customHeight="1" x14ac:dyDescent="0.25">
      <c r="B24" s="7"/>
      <c r="C24" s="7"/>
      <c r="D24" s="7"/>
      <c r="E24" s="7"/>
      <c r="F24" s="7"/>
      <c r="G24" s="7"/>
      <c r="H24" s="7"/>
      <c r="I24" s="7"/>
    </row>
    <row r="25" spans="2:9" ht="15" customHeight="1" x14ac:dyDescent="0.25">
      <c r="B25" s="7"/>
      <c r="C25" s="7"/>
      <c r="D25" s="7"/>
      <c r="E25" s="7"/>
      <c r="F25" s="7"/>
      <c r="G25" s="7"/>
      <c r="H25" s="7"/>
      <c r="I25" s="7"/>
    </row>
    <row r="26" spans="2:9" ht="12.75" customHeight="1" x14ac:dyDescent="0.25">
      <c r="B26" s="7"/>
      <c r="C26" s="7"/>
      <c r="D26" s="7"/>
      <c r="E26" s="7"/>
      <c r="F26" s="7"/>
      <c r="G26" s="7"/>
      <c r="H26" s="7"/>
      <c r="I26" s="7"/>
    </row>
    <row r="27" spans="2:9" ht="15" customHeight="1" x14ac:dyDescent="0.25">
      <c r="B27" s="7"/>
      <c r="C27" s="7"/>
      <c r="D27" s="7"/>
      <c r="E27" s="7"/>
      <c r="F27" s="7"/>
      <c r="G27" s="7"/>
      <c r="H27" s="7"/>
      <c r="I27" s="7"/>
    </row>
    <row r="28" spans="2:9" ht="12.75" customHeight="1" x14ac:dyDescent="0.3">
      <c r="B28" s="7"/>
      <c r="C28" s="7"/>
      <c r="D28" s="112"/>
      <c r="E28" s="113"/>
      <c r="F28" s="7"/>
      <c r="G28" s="7"/>
      <c r="H28" s="7"/>
      <c r="I28" s="7"/>
    </row>
    <row r="29" spans="2:9" ht="12.75" customHeight="1" x14ac:dyDescent="0.25">
      <c r="B29" s="7"/>
      <c r="C29" s="7"/>
      <c r="D29" s="7"/>
      <c r="E29" s="104"/>
      <c r="F29" s="7"/>
      <c r="G29" s="7"/>
      <c r="H29" s="7"/>
      <c r="I29" s="7"/>
    </row>
    <row r="30" spans="2:9" ht="12.75" customHeight="1" x14ac:dyDescent="0.3">
      <c r="B30" s="963" t="s">
        <v>152</v>
      </c>
      <c r="C30" s="964"/>
      <c r="D30" s="964"/>
      <c r="E30" s="964"/>
      <c r="F30" s="964"/>
      <c r="G30" s="964"/>
      <c r="H30" s="964"/>
      <c r="I30" s="964"/>
    </row>
    <row r="31" spans="2:9" ht="12.75" customHeight="1" x14ac:dyDescent="0.3">
      <c r="B31" s="114" t="s">
        <v>80</v>
      </c>
      <c r="C31" s="115" t="str">
        <f>'Anexo V - ano 1 a 10 - inicial'!C12</f>
        <v>Balança rodoviária (80 ton)</v>
      </c>
      <c r="D31" s="115" t="s">
        <v>153</v>
      </c>
      <c r="E31" s="115" t="s">
        <v>154</v>
      </c>
      <c r="F31" s="115" t="s">
        <v>155</v>
      </c>
      <c r="G31" s="115" t="s">
        <v>156</v>
      </c>
      <c r="H31" s="115" t="s">
        <v>157</v>
      </c>
      <c r="I31" s="115" t="s">
        <v>158</v>
      </c>
    </row>
    <row r="32" spans="2:9" ht="12.75" customHeight="1" x14ac:dyDescent="0.3">
      <c r="B32" s="116" t="s">
        <v>159</v>
      </c>
      <c r="C32" s="792">
        <v>1</v>
      </c>
      <c r="D32" s="792">
        <v>1</v>
      </c>
      <c r="E32" s="792">
        <v>3</v>
      </c>
      <c r="F32" s="792">
        <v>1</v>
      </c>
      <c r="G32" s="792">
        <v>1</v>
      </c>
      <c r="H32" s="792">
        <v>1</v>
      </c>
      <c r="I32" s="792">
        <v>4</v>
      </c>
    </row>
    <row r="33" spans="2:10" ht="12.75" customHeight="1" x14ac:dyDescent="0.3">
      <c r="B33" s="116" t="s">
        <v>160</v>
      </c>
      <c r="C33" s="792">
        <v>1</v>
      </c>
      <c r="D33" s="792">
        <v>2</v>
      </c>
      <c r="E33" s="792">
        <v>4</v>
      </c>
      <c r="F33" s="792">
        <v>1</v>
      </c>
      <c r="G33" s="792">
        <v>1</v>
      </c>
      <c r="H33" s="792">
        <v>1</v>
      </c>
      <c r="I33" s="792">
        <v>4</v>
      </c>
      <c r="J33" s="7"/>
    </row>
    <row r="34" spans="2:10" ht="12.75" customHeight="1" x14ac:dyDescent="0.3">
      <c r="B34" s="116" t="s">
        <v>161</v>
      </c>
      <c r="C34" s="792">
        <v>2</v>
      </c>
      <c r="D34" s="792">
        <v>2</v>
      </c>
      <c r="E34" s="792">
        <v>5</v>
      </c>
      <c r="F34" s="792">
        <v>1</v>
      </c>
      <c r="G34" s="792">
        <v>1</v>
      </c>
      <c r="H34" s="792">
        <v>1</v>
      </c>
      <c r="I34" s="792">
        <v>4</v>
      </c>
      <c r="J34" s="7"/>
    </row>
    <row r="35" spans="2:10" ht="12.75" customHeight="1" x14ac:dyDescent="0.25">
      <c r="B35" s="7"/>
      <c r="C35" s="7"/>
      <c r="D35" s="7"/>
      <c r="E35" s="104"/>
      <c r="F35" s="7"/>
      <c r="G35" s="7"/>
      <c r="H35" s="7"/>
      <c r="I35" s="7"/>
      <c r="J35" s="7"/>
    </row>
    <row r="36" spans="2:10" ht="12.75" customHeight="1" x14ac:dyDescent="0.25">
      <c r="B36" s="7"/>
      <c r="C36" s="7"/>
      <c r="D36" s="7"/>
      <c r="E36" s="104"/>
      <c r="F36" s="7"/>
      <c r="G36" s="7"/>
      <c r="H36" s="7"/>
      <c r="I36" s="7"/>
      <c r="J36" s="7"/>
    </row>
    <row r="37" spans="2:10" ht="12.75" customHeight="1" x14ac:dyDescent="0.25">
      <c r="B37" s="7"/>
      <c r="C37" s="7"/>
      <c r="D37" s="7"/>
      <c r="E37" s="104"/>
      <c r="F37" s="7"/>
      <c r="G37" s="7"/>
      <c r="H37" s="7"/>
      <c r="I37" s="7"/>
      <c r="J37" s="7"/>
    </row>
    <row r="38" spans="2:10" ht="9" customHeight="1" x14ac:dyDescent="0.25">
      <c r="B38" s="7"/>
      <c r="C38" s="7"/>
      <c r="D38" s="7"/>
      <c r="E38" s="104"/>
      <c r="F38" s="7"/>
      <c r="G38" s="7"/>
      <c r="H38" s="7"/>
      <c r="I38" s="7"/>
      <c r="J38" s="7"/>
    </row>
    <row r="39" spans="2:10" ht="21" customHeight="1" x14ac:dyDescent="0.35">
      <c r="B39" s="969" t="s">
        <v>162</v>
      </c>
      <c r="C39" s="969"/>
      <c r="D39" s="969"/>
      <c r="E39" s="969"/>
      <c r="F39" s="7"/>
      <c r="G39" s="7"/>
      <c r="H39" s="7"/>
      <c r="I39" s="7"/>
      <c r="J39" s="7"/>
    </row>
    <row r="40" spans="2:10" ht="12.75" customHeight="1" x14ac:dyDescent="0.25">
      <c r="B40" s="7"/>
      <c r="C40" s="7"/>
      <c r="D40" s="7"/>
      <c r="E40" s="104"/>
      <c r="F40" s="7"/>
      <c r="G40" s="7"/>
      <c r="H40" s="7"/>
      <c r="I40" s="7"/>
      <c r="J40" s="7"/>
    </row>
    <row r="41" spans="2:10" ht="12.75" customHeight="1" x14ac:dyDescent="0.3">
      <c r="B41" s="970"/>
      <c r="C41" s="970"/>
      <c r="D41" s="970"/>
      <c r="E41" s="104"/>
      <c r="F41" s="7"/>
      <c r="G41" s="7"/>
      <c r="H41" s="7"/>
      <c r="I41" s="7"/>
      <c r="J41" s="7"/>
    </row>
    <row r="42" spans="2:10" ht="12.75" customHeight="1" x14ac:dyDescent="0.25">
      <c r="B42" s="971"/>
      <c r="C42" s="971"/>
      <c r="D42" s="971"/>
      <c r="E42" s="966" t="s">
        <v>163</v>
      </c>
      <c r="F42" s="966"/>
      <c r="G42" s="966" t="s">
        <v>164</v>
      </c>
      <c r="H42" s="966"/>
      <c r="I42" s="967" t="s">
        <v>165</v>
      </c>
      <c r="J42" s="967"/>
    </row>
    <row r="43" spans="2:10" ht="12.75" customHeight="1" x14ac:dyDescent="0.25">
      <c r="B43" s="968"/>
      <c r="C43" s="968"/>
      <c r="D43" s="121" t="s">
        <v>166</v>
      </c>
      <c r="E43" s="965">
        <f>'Anexo II - Carga-demanda'!G30</f>
        <v>4110.0421399155184</v>
      </c>
      <c r="F43" s="965"/>
      <c r="G43" s="965">
        <f>'Anexo II - Carga-demanda'!G35</f>
        <v>4449.536917401294</v>
      </c>
      <c r="H43" s="965"/>
      <c r="I43" s="965">
        <f>'Anexo II - Carga-demanda'!G45</f>
        <v>5214.9709544500338</v>
      </c>
      <c r="J43" s="965"/>
    </row>
    <row r="44" spans="2:10" ht="12.75" customHeight="1" x14ac:dyDescent="0.25">
      <c r="B44" s="122"/>
      <c r="C44" s="7"/>
      <c r="D44" s="121" t="s">
        <v>167</v>
      </c>
      <c r="E44" s="965">
        <f>'Anexo II - Carga-demanda'!F30</f>
        <v>76035779.588437095</v>
      </c>
      <c r="F44" s="965"/>
      <c r="G44" s="965">
        <f>'Anexo II - Carga-demanda'!F35</f>
        <v>82316432.971923932</v>
      </c>
      <c r="H44" s="965"/>
      <c r="I44" s="965">
        <f>'Anexo II - Carga-demanda'!F45</f>
        <v>96476962.657325625</v>
      </c>
      <c r="J44" s="965"/>
    </row>
    <row r="45" spans="2:10" ht="12.75" customHeight="1" x14ac:dyDescent="0.25">
      <c r="B45" s="7"/>
      <c r="C45" s="7"/>
      <c r="D45" s="7"/>
      <c r="E45" s="104"/>
      <c r="F45" s="7"/>
      <c r="G45" s="7"/>
      <c r="H45" s="7"/>
      <c r="I45" s="7"/>
      <c r="J45" s="123"/>
    </row>
    <row r="46" spans="2:10" ht="30" customHeight="1" x14ac:dyDescent="0.25">
      <c r="B46" s="7"/>
      <c r="C46" s="124" t="s">
        <v>168</v>
      </c>
      <c r="D46" s="125" t="s">
        <v>169</v>
      </c>
      <c r="E46" s="126" t="s">
        <v>170</v>
      </c>
      <c r="F46" s="797" t="s">
        <v>171</v>
      </c>
      <c r="G46" s="127" t="s">
        <v>170</v>
      </c>
      <c r="H46" s="127" t="s">
        <v>171</v>
      </c>
      <c r="I46" s="127" t="s">
        <v>170</v>
      </c>
      <c r="J46" s="127" t="s">
        <v>171</v>
      </c>
    </row>
    <row r="47" spans="2:10" ht="25.5" customHeight="1" x14ac:dyDescent="0.25">
      <c r="B47" s="7"/>
      <c r="C47" s="128"/>
      <c r="D47" s="128"/>
      <c r="E47" s="129"/>
      <c r="F47" s="130"/>
      <c r="G47" s="130"/>
      <c r="H47" s="130"/>
      <c r="I47" s="131"/>
      <c r="J47" s="131"/>
    </row>
    <row r="48" spans="2:10" ht="16.5" customHeight="1" x14ac:dyDescent="0.35">
      <c r="B48" s="132" t="s">
        <v>172</v>
      </c>
      <c r="C48" s="133"/>
      <c r="D48" s="133"/>
      <c r="E48" s="134"/>
      <c r="F48" s="135"/>
      <c r="G48" s="136"/>
      <c r="H48" s="136"/>
      <c r="I48" s="137"/>
      <c r="J48" s="138"/>
    </row>
    <row r="49" spans="2:10" ht="16.5" customHeight="1" x14ac:dyDescent="0.3">
      <c r="B49" s="18"/>
      <c r="C49" s="790" t="str">
        <f>'Memória-custo MO'!A10</f>
        <v>Gerente operacional</v>
      </c>
      <c r="D49" s="139"/>
      <c r="E49" s="140"/>
      <c r="F49" s="793">
        <f>'Memória-custo MO'!D10</f>
        <v>1</v>
      </c>
      <c r="G49" s="117"/>
      <c r="H49" s="141">
        <f>F49</f>
        <v>1</v>
      </c>
      <c r="I49" s="142"/>
      <c r="J49" s="141">
        <f>H49</f>
        <v>1</v>
      </c>
    </row>
    <row r="50" spans="2:10" ht="16.5" customHeight="1" x14ac:dyDescent="0.3">
      <c r="B50" s="18"/>
      <c r="C50" s="790" t="str">
        <f>'Memória-custo MO'!A17</f>
        <v>Supervisor Adminstrivo</v>
      </c>
      <c r="D50" s="139"/>
      <c r="E50" s="140"/>
      <c r="F50" s="793">
        <f>'Memória-custo MO'!D17</f>
        <v>1</v>
      </c>
      <c r="G50" s="117"/>
      <c r="H50" s="141">
        <f t="shared" ref="H50:H58" si="2">F50</f>
        <v>1</v>
      </c>
      <c r="I50" s="143"/>
      <c r="J50" s="141">
        <f t="shared" ref="J50:J58" si="3">H50</f>
        <v>1</v>
      </c>
    </row>
    <row r="51" spans="2:10" ht="16.5" customHeight="1" x14ac:dyDescent="0.3">
      <c r="B51" s="18"/>
      <c r="C51" s="790" t="str">
        <f>'Memória-custo MO'!A18</f>
        <v>Auxiliar Administrativo</v>
      </c>
      <c r="D51" s="139"/>
      <c r="E51" s="140"/>
      <c r="F51" s="793">
        <f>'Memória-custo MO'!D18</f>
        <v>4</v>
      </c>
      <c r="G51" s="117"/>
      <c r="H51" s="141">
        <f t="shared" si="2"/>
        <v>4</v>
      </c>
      <c r="I51" s="143"/>
      <c r="J51" s="141">
        <f t="shared" si="3"/>
        <v>4</v>
      </c>
    </row>
    <row r="52" spans="2:10" ht="16.5" customHeight="1" x14ac:dyDescent="0.3">
      <c r="B52" s="18"/>
      <c r="C52" s="790" t="str">
        <f>'Memória-custo MO'!A19</f>
        <v>Auxiliar de Serviços Gerais</v>
      </c>
      <c r="D52" s="139"/>
      <c r="E52" s="140"/>
      <c r="F52" s="793">
        <f>'Memória-custo MO'!D19</f>
        <v>3</v>
      </c>
      <c r="G52" s="117"/>
      <c r="H52" s="141">
        <f t="shared" si="2"/>
        <v>3</v>
      </c>
      <c r="I52" s="143"/>
      <c r="J52" s="141">
        <f t="shared" si="3"/>
        <v>3</v>
      </c>
    </row>
    <row r="53" spans="2:10" ht="12.75" customHeight="1" x14ac:dyDescent="0.3">
      <c r="B53" s="18"/>
      <c r="C53" s="790" t="str">
        <f>'Memória-custo MO'!A20</f>
        <v>Assistente de RH</v>
      </c>
      <c r="D53" s="139"/>
      <c r="E53" s="140"/>
      <c r="F53" s="793">
        <f>'Memória-custo MO'!D20</f>
        <v>2</v>
      </c>
      <c r="G53" s="141"/>
      <c r="H53" s="141">
        <f t="shared" si="2"/>
        <v>2</v>
      </c>
      <c r="I53" s="141"/>
      <c r="J53" s="141">
        <f t="shared" si="3"/>
        <v>2</v>
      </c>
    </row>
    <row r="54" spans="2:10" ht="12.75" customHeight="1" x14ac:dyDescent="0.3">
      <c r="B54" s="18"/>
      <c r="C54" s="790" t="str">
        <f>'Memória-custo MO'!A21</f>
        <v>Técnico de TI</v>
      </c>
      <c r="D54" s="139"/>
      <c r="E54" s="140"/>
      <c r="F54" s="793">
        <f>'Memória-custo MO'!D21</f>
        <v>2</v>
      </c>
      <c r="G54" s="117"/>
      <c r="H54" s="141">
        <f t="shared" si="2"/>
        <v>2</v>
      </c>
      <c r="I54" s="143"/>
      <c r="J54" s="141">
        <f t="shared" si="3"/>
        <v>2</v>
      </c>
    </row>
    <row r="55" spans="2:10" ht="12.75" customHeight="1" x14ac:dyDescent="0.3">
      <c r="B55" s="18"/>
      <c r="C55" s="790" t="str">
        <f>'Memória-custo MO'!A22</f>
        <v>Responsável Técnico</v>
      </c>
      <c r="D55" s="139"/>
      <c r="E55" s="140"/>
      <c r="F55" s="793">
        <f>'Memória-custo MO'!D22</f>
        <v>1</v>
      </c>
      <c r="G55" s="117"/>
      <c r="H55" s="141">
        <f t="shared" si="2"/>
        <v>1</v>
      </c>
      <c r="I55" s="143"/>
      <c r="J55" s="141">
        <f t="shared" si="3"/>
        <v>1</v>
      </c>
    </row>
    <row r="56" spans="2:10" ht="12.75" customHeight="1" x14ac:dyDescent="0.3">
      <c r="B56" s="18"/>
      <c r="C56" s="790" t="str">
        <f>'Memória-custo MO'!A23</f>
        <v>Jovem Aprendiz</v>
      </c>
      <c r="D56" s="139"/>
      <c r="E56" s="140"/>
      <c r="F56" s="793">
        <f>'Memória-custo MO'!D23</f>
        <v>3</v>
      </c>
      <c r="G56" s="117"/>
      <c r="H56" s="141">
        <f t="shared" si="2"/>
        <v>3</v>
      </c>
      <c r="I56" s="143"/>
      <c r="J56" s="141">
        <f t="shared" si="3"/>
        <v>3</v>
      </c>
    </row>
    <row r="57" spans="2:10" ht="12.75" customHeight="1" x14ac:dyDescent="0.3">
      <c r="B57" s="18"/>
      <c r="C57" s="790" t="str">
        <f>'Memória-custo MO'!A24</f>
        <v>Técnico de Segurança do Trabalho</v>
      </c>
      <c r="D57" s="139"/>
      <c r="E57" s="140"/>
      <c r="F57" s="793">
        <f>'Memória-custo MO'!D24</f>
        <v>1</v>
      </c>
      <c r="G57" s="117"/>
      <c r="H57" s="141">
        <f t="shared" si="2"/>
        <v>1</v>
      </c>
      <c r="I57" s="143"/>
      <c r="J57" s="141">
        <f t="shared" si="3"/>
        <v>1</v>
      </c>
    </row>
    <row r="58" spans="2:10" ht="12.75" customHeight="1" thickBot="1" x14ac:dyDescent="0.35">
      <c r="B58" s="18"/>
      <c r="C58" s="790" t="str">
        <f>'Memória-custo MO'!A25</f>
        <v>Analista de Qualidade</v>
      </c>
      <c r="D58" s="139"/>
      <c r="E58" s="140"/>
      <c r="F58" s="793">
        <f>'Memória-custo MO'!D25</f>
        <v>2</v>
      </c>
      <c r="G58" s="117"/>
      <c r="H58" s="141">
        <f t="shared" si="2"/>
        <v>2</v>
      </c>
      <c r="I58" s="143"/>
      <c r="J58" s="141">
        <f t="shared" si="3"/>
        <v>2</v>
      </c>
    </row>
    <row r="59" spans="2:10" ht="17.25" customHeight="1" thickBot="1" x14ac:dyDescent="0.35">
      <c r="B59" s="18"/>
      <c r="C59" s="144" t="s">
        <v>173</v>
      </c>
      <c r="D59" s="145"/>
      <c r="E59" s="146"/>
      <c r="F59" s="147">
        <f>SUM(F49:F58)</f>
        <v>20</v>
      </c>
      <c r="G59" s="119"/>
      <c r="H59" s="147">
        <f>SUM(H49:H58)</f>
        <v>20</v>
      </c>
      <c r="I59" s="148"/>
      <c r="J59" s="147">
        <f>SUM(J49:J58)</f>
        <v>20</v>
      </c>
    </row>
    <row r="60" spans="2:10" ht="17.25" customHeight="1" x14ac:dyDescent="0.3">
      <c r="B60" s="18"/>
      <c r="C60" s="149"/>
      <c r="D60" s="150"/>
      <c r="E60" s="104"/>
      <c r="F60" s="151"/>
      <c r="G60" s="106"/>
      <c r="H60" s="151"/>
      <c r="I60" s="152"/>
      <c r="J60" s="151"/>
    </row>
    <row r="61" spans="2:10" ht="12.75" customHeight="1" x14ac:dyDescent="0.25">
      <c r="B61" s="18"/>
      <c r="C61" s="150"/>
      <c r="D61" s="150"/>
      <c r="E61" s="104"/>
      <c r="F61" s="151"/>
      <c r="G61" s="106"/>
      <c r="H61" s="151"/>
      <c r="I61" s="152"/>
      <c r="J61" s="73"/>
    </row>
    <row r="62" spans="2:10" ht="15.75" customHeight="1" x14ac:dyDescent="0.35">
      <c r="B62" s="132" t="s">
        <v>174</v>
      </c>
      <c r="C62" s="133"/>
      <c r="D62" s="133"/>
      <c r="E62" s="153"/>
      <c r="F62" s="154"/>
      <c r="G62" s="154"/>
      <c r="H62" s="155"/>
      <c r="I62" s="155"/>
      <c r="J62" s="156"/>
    </row>
    <row r="63" spans="2:10" ht="12.75" customHeight="1" x14ac:dyDescent="0.3">
      <c r="B63" s="18"/>
      <c r="C63" s="767" t="s">
        <v>175</v>
      </c>
      <c r="D63" s="139"/>
      <c r="E63" s="140"/>
      <c r="F63" s="141">
        <v>0</v>
      </c>
      <c r="G63" s="157"/>
      <c r="H63" s="141">
        <v>0</v>
      </c>
      <c r="I63" s="143"/>
      <c r="J63" s="141">
        <v>0</v>
      </c>
    </row>
    <row r="64" spans="2:10" ht="17.25" customHeight="1" x14ac:dyDescent="0.3">
      <c r="B64" s="18"/>
      <c r="C64" s="144" t="s">
        <v>176</v>
      </c>
      <c r="D64" s="150"/>
      <c r="E64" s="104"/>
      <c r="F64" s="151">
        <f>SUM(F63:F63)</f>
        <v>0</v>
      </c>
      <c r="G64" s="151"/>
      <c r="H64" s="151">
        <f>SUM(H63:H63)</f>
        <v>0</v>
      </c>
      <c r="I64" s="151"/>
      <c r="J64" s="151">
        <f>SUM(J63:J63)</f>
        <v>0</v>
      </c>
    </row>
    <row r="67" spans="2:10" ht="15.75" customHeight="1" x14ac:dyDescent="0.35">
      <c r="B67" s="132" t="s">
        <v>177</v>
      </c>
      <c r="C67" s="133"/>
      <c r="D67" s="133"/>
      <c r="E67" s="153"/>
      <c r="F67" s="154"/>
      <c r="G67" s="154"/>
      <c r="H67" s="155"/>
      <c r="I67" s="155"/>
      <c r="J67" s="160"/>
    </row>
    <row r="68" spans="2:10" ht="12.75" customHeight="1" x14ac:dyDescent="0.3">
      <c r="B68" s="18"/>
      <c r="C68" s="790" t="str">
        <f>'Memória-custo MO'!A33</f>
        <v>Mecânico</v>
      </c>
      <c r="D68" s="139"/>
      <c r="E68" s="140"/>
      <c r="F68" s="793">
        <v>1</v>
      </c>
      <c r="G68" s="157"/>
      <c r="H68" s="141">
        <v>1</v>
      </c>
      <c r="I68" s="143"/>
      <c r="J68" s="141">
        <v>1</v>
      </c>
    </row>
    <row r="69" spans="2:10" ht="12.75" customHeight="1" x14ac:dyDescent="0.3">
      <c r="B69" s="18"/>
      <c r="C69" s="790" t="str">
        <f>'Memória-custo MO'!A34</f>
        <v>Artífice</v>
      </c>
      <c r="D69" s="161"/>
      <c r="E69" s="162"/>
      <c r="F69" s="794">
        <v>1</v>
      </c>
      <c r="G69" s="164"/>
      <c r="H69" s="163">
        <v>1</v>
      </c>
      <c r="I69" s="165"/>
      <c r="J69" s="163">
        <v>1</v>
      </c>
    </row>
    <row r="70" spans="2:10" ht="17.25" customHeight="1" x14ac:dyDescent="0.3">
      <c r="B70" s="18"/>
      <c r="C70" s="144" t="s">
        <v>178</v>
      </c>
      <c r="D70" s="150"/>
      <c r="E70" s="104"/>
      <c r="F70" s="151">
        <f>SUM(F68:F69)</f>
        <v>2</v>
      </c>
      <c r="G70" s="151"/>
      <c r="H70" s="151">
        <f>SUM(H68:H69)</f>
        <v>2</v>
      </c>
      <c r="I70" s="151"/>
      <c r="J70" s="151">
        <f>SUM(J68:J69)</f>
        <v>2</v>
      </c>
    </row>
    <row r="71" spans="2:10" ht="17.25" customHeight="1" x14ac:dyDescent="0.3">
      <c r="B71" s="18"/>
      <c r="C71" s="149"/>
      <c r="D71" s="150"/>
      <c r="E71" s="104"/>
      <c r="F71" s="151"/>
      <c r="G71" s="158"/>
      <c r="H71" s="151"/>
      <c r="I71" s="159"/>
      <c r="J71" s="151"/>
    </row>
    <row r="72" spans="2:10" ht="12.75" customHeight="1" x14ac:dyDescent="0.25">
      <c r="B72" s="18"/>
      <c r="C72" s="150"/>
      <c r="D72" s="150"/>
      <c r="E72" s="104"/>
      <c r="F72" s="151"/>
      <c r="G72" s="158"/>
      <c r="H72" s="151"/>
      <c r="I72" s="159"/>
      <c r="J72" s="73"/>
    </row>
    <row r="73" spans="2:10" ht="20.25" customHeight="1" x14ac:dyDescent="0.35">
      <c r="B73" s="132" t="s">
        <v>179</v>
      </c>
      <c r="C73" s="133"/>
      <c r="D73" s="133"/>
      <c r="E73" s="153"/>
      <c r="F73" s="166"/>
      <c r="G73" s="166"/>
      <c r="H73" s="166"/>
      <c r="I73" s="166"/>
      <c r="J73" s="167"/>
    </row>
    <row r="74" spans="2:10" ht="12.75" customHeight="1" x14ac:dyDescent="0.3">
      <c r="B74" s="168"/>
      <c r="C74" s="790" t="str">
        <f>'Memória-custo MO'!A38</f>
        <v>Fiel Depositário</v>
      </c>
      <c r="D74" s="139"/>
      <c r="E74" s="795"/>
      <c r="F74" s="796">
        <f>'Memória-custo MO'!D38</f>
        <v>1</v>
      </c>
      <c r="G74" s="116"/>
      <c r="H74" s="110">
        <f>F74</f>
        <v>1</v>
      </c>
      <c r="I74" s="116"/>
      <c r="J74" s="110">
        <f>H74</f>
        <v>1</v>
      </c>
    </row>
    <row r="75" spans="2:10" ht="12.75" customHeight="1" x14ac:dyDescent="0.3">
      <c r="B75" s="168"/>
      <c r="C75" s="790" t="str">
        <f>'Memória-custo MO'!A39</f>
        <v>Lider Operacional</v>
      </c>
      <c r="D75" s="139"/>
      <c r="E75" s="795"/>
      <c r="F75" s="796">
        <f>'Memória-custo MO'!D39</f>
        <v>1</v>
      </c>
      <c r="G75" s="116"/>
      <c r="H75" s="110">
        <f t="shared" ref="H75:H79" si="4">F75</f>
        <v>1</v>
      </c>
      <c r="I75" s="116"/>
      <c r="J75" s="110">
        <f t="shared" ref="J75:J79" si="5">H75</f>
        <v>1</v>
      </c>
    </row>
    <row r="76" spans="2:10" s="170" customFormat="1" ht="12.75" customHeight="1" x14ac:dyDescent="0.3">
      <c r="B76" s="168"/>
      <c r="C76" s="790" t="str">
        <f>'Memória-custo MO'!A40</f>
        <v>Operador de Equipamentos Pesados</v>
      </c>
      <c r="D76" s="139" t="s">
        <v>180</v>
      </c>
      <c r="E76" s="795">
        <v>9</v>
      </c>
      <c r="F76" s="796">
        <v>5</v>
      </c>
      <c r="G76" s="169">
        <f>E76</f>
        <v>9</v>
      </c>
      <c r="H76" s="110">
        <f t="shared" si="4"/>
        <v>5</v>
      </c>
      <c r="I76" s="116">
        <f>E76</f>
        <v>9</v>
      </c>
      <c r="J76" s="110">
        <f t="shared" si="5"/>
        <v>5</v>
      </c>
    </row>
    <row r="77" spans="2:10" ht="12.75" customHeight="1" x14ac:dyDescent="0.3">
      <c r="B77" s="168"/>
      <c r="C77" s="790" t="str">
        <f>'Memória-custo MO'!A41</f>
        <v>Conferente</v>
      </c>
      <c r="D77" s="139" t="str">
        <f>I31</f>
        <v>Palleteira Manual</v>
      </c>
      <c r="E77" s="795">
        <v>2</v>
      </c>
      <c r="F77" s="796">
        <f>'Memória-custo MO'!D41</f>
        <v>5</v>
      </c>
      <c r="G77" s="169">
        <f t="shared" ref="G77:G79" si="6">E77</f>
        <v>2</v>
      </c>
      <c r="H77" s="110">
        <f t="shared" si="4"/>
        <v>5</v>
      </c>
      <c r="I77" s="116">
        <f t="shared" ref="I77:I79" si="7">E77</f>
        <v>2</v>
      </c>
      <c r="J77" s="110">
        <f t="shared" si="5"/>
        <v>5</v>
      </c>
    </row>
    <row r="78" spans="2:10" ht="12.75" customHeight="1" x14ac:dyDescent="0.3">
      <c r="B78" s="168"/>
      <c r="C78" s="790" t="str">
        <f>'Memória-custo MO'!A42</f>
        <v>Ajudante Operacional</v>
      </c>
      <c r="D78" s="139" t="str">
        <f>I31</f>
        <v>Palleteira Manual</v>
      </c>
      <c r="E78" s="795">
        <v>2</v>
      </c>
      <c r="F78" s="796">
        <f>'Memória-custo MO'!D42</f>
        <v>4</v>
      </c>
      <c r="G78" s="169">
        <f t="shared" si="6"/>
        <v>2</v>
      </c>
      <c r="H78" s="110">
        <f t="shared" si="4"/>
        <v>4</v>
      </c>
      <c r="I78" s="116">
        <f t="shared" si="7"/>
        <v>2</v>
      </c>
      <c r="J78" s="110">
        <f t="shared" si="5"/>
        <v>4</v>
      </c>
    </row>
    <row r="79" spans="2:10" ht="12.75" customHeight="1" thickBot="1" x14ac:dyDescent="0.35">
      <c r="B79" s="7"/>
      <c r="C79" s="790" t="str">
        <f>'Memória-custo MO'!A45</f>
        <v>Agente de Portaria</v>
      </c>
      <c r="D79" s="139" t="str">
        <f>C31</f>
        <v>Balança rodoviária (80 ton)</v>
      </c>
      <c r="E79" s="795">
        <v>1</v>
      </c>
      <c r="F79" s="796">
        <f>'Memória-custo MO'!D45</f>
        <v>2</v>
      </c>
      <c r="G79" s="169">
        <f t="shared" si="6"/>
        <v>1</v>
      </c>
      <c r="H79" s="110">
        <f t="shared" si="4"/>
        <v>2</v>
      </c>
      <c r="I79" s="116">
        <f t="shared" si="7"/>
        <v>1</v>
      </c>
      <c r="J79" s="110">
        <f t="shared" si="5"/>
        <v>2</v>
      </c>
    </row>
    <row r="80" spans="2:10" ht="16.5" customHeight="1" thickBot="1" x14ac:dyDescent="0.35">
      <c r="B80" s="168"/>
      <c r="C80" s="171" t="s">
        <v>181</v>
      </c>
      <c r="D80" s="20"/>
      <c r="E80" s="172"/>
      <c r="F80" s="173">
        <f>SUM(F74:F79)</f>
        <v>18</v>
      </c>
      <c r="G80" s="174"/>
      <c r="H80" s="173">
        <f>SUM(H74:H79)</f>
        <v>18</v>
      </c>
      <c r="I80" s="174"/>
      <c r="J80" s="173">
        <f>SUM(J74:J79)</f>
        <v>18</v>
      </c>
    </row>
    <row r="82" spans="3:10" ht="12.75" customHeight="1" x14ac:dyDescent="0.3">
      <c r="C82" s="177" t="s">
        <v>182</v>
      </c>
      <c r="D82" s="145"/>
      <c r="E82" s="146"/>
      <c r="F82" s="147">
        <f>F59+F64+F70+F80</f>
        <v>40</v>
      </c>
      <c r="G82" s="119"/>
      <c r="H82" s="147">
        <f>H59+H64+H70+H80</f>
        <v>40</v>
      </c>
      <c r="I82" s="119"/>
      <c r="J82" s="147">
        <f>J59+J64+J70+J80</f>
        <v>40</v>
      </c>
    </row>
  </sheetData>
  <mergeCells count="19">
    <mergeCell ref="B3:G3"/>
    <mergeCell ref="B4:G4"/>
    <mergeCell ref="B5:G5"/>
    <mergeCell ref="B9:G9"/>
    <mergeCell ref="B17:C17"/>
    <mergeCell ref="B30:I30"/>
    <mergeCell ref="E44:F44"/>
    <mergeCell ref="G44:H44"/>
    <mergeCell ref="I44:J44"/>
    <mergeCell ref="G42:H42"/>
    <mergeCell ref="I42:J42"/>
    <mergeCell ref="B43:C43"/>
    <mergeCell ref="E43:F43"/>
    <mergeCell ref="G43:H43"/>
    <mergeCell ref="I43:J43"/>
    <mergeCell ref="B39:E39"/>
    <mergeCell ref="B41:D41"/>
    <mergeCell ref="B42:D42"/>
    <mergeCell ref="E42:F42"/>
  </mergeCells>
  <pageMargins left="0.51180555555555496" right="0.51180555555555496" top="0.78749999999999998" bottom="0.78749999999999998" header="0.51180555555555496" footer="0.51180555555555496"/>
  <pageSetup paperSize="9" firstPageNumber="0" orientation="portrait" horizontalDpi="300" verticalDpi="300"/>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B3:AB64"/>
  <sheetViews>
    <sheetView topLeftCell="K12" workbookViewId="0">
      <selection activeCell="R59" sqref="R59"/>
    </sheetView>
  </sheetViews>
  <sheetFormatPr defaultRowHeight="12.5" x14ac:dyDescent="0.25"/>
  <cols>
    <col min="1" max="1" width="9.1796875" customWidth="1"/>
    <col min="2" max="2" width="33.81640625" customWidth="1"/>
    <col min="3" max="3" width="8.54296875" customWidth="1"/>
    <col min="4" max="5" width="13.26953125" customWidth="1"/>
    <col min="6" max="6" width="9.26953125" customWidth="1"/>
    <col min="7" max="7" width="11.7265625" style="179" bestFit="1" customWidth="1"/>
    <col min="8" max="8" width="11.1796875" customWidth="1"/>
    <col min="9" max="9" width="10.1796875" bestFit="1" customWidth="1"/>
    <col min="10" max="11" width="14.1796875" customWidth="1"/>
    <col min="12" max="12" width="11.81640625" customWidth="1"/>
    <col min="13" max="13" width="12.7265625" customWidth="1"/>
    <col min="14" max="14" width="9.7265625" customWidth="1"/>
    <col min="15" max="15" width="7.7265625" customWidth="1"/>
    <col min="16" max="16" width="10.1796875" bestFit="1" customWidth="1"/>
    <col min="17" max="18" width="14.1796875" customWidth="1"/>
    <col min="19" max="19" width="12" customWidth="1"/>
    <col min="20" max="20" width="13" customWidth="1"/>
    <col min="21" max="21" width="9.7265625" customWidth="1"/>
    <col min="22" max="22" width="7.453125" customWidth="1"/>
    <col min="23" max="23" width="10.1796875" bestFit="1" customWidth="1"/>
    <col min="24" max="24" width="12.81640625" customWidth="1"/>
    <col min="25" max="25" width="14.1796875" customWidth="1"/>
    <col min="26" max="26" width="12" customWidth="1"/>
    <col min="27" max="27" width="12.453125" customWidth="1"/>
    <col min="28" max="28" width="13.54296875" customWidth="1"/>
    <col min="29" max="38" width="7.1796875" customWidth="1"/>
    <col min="39" max="1025" width="14.453125" customWidth="1"/>
  </cols>
  <sheetData>
    <row r="3" spans="2:28" ht="12.75" customHeight="1" x14ac:dyDescent="0.35">
      <c r="B3" s="7"/>
      <c r="C3" s="975" t="s">
        <v>70</v>
      </c>
      <c r="D3" s="975"/>
      <c r="E3" s="975"/>
      <c r="F3" s="975"/>
      <c r="G3" s="975"/>
      <c r="H3" s="975"/>
      <c r="I3" s="975"/>
      <c r="J3" s="975"/>
      <c r="K3" s="975"/>
      <c r="L3" s="975"/>
      <c r="M3" s="975"/>
      <c r="N3" s="975"/>
      <c r="O3" s="8"/>
      <c r="P3" s="8"/>
      <c r="Q3" s="8"/>
      <c r="R3" s="8"/>
      <c r="S3" s="8"/>
      <c r="T3" s="8"/>
      <c r="U3" s="8"/>
      <c r="V3" s="8"/>
      <c r="W3" s="8"/>
      <c r="X3" s="8"/>
      <c r="Y3" s="8"/>
      <c r="Z3" s="8"/>
      <c r="AA3" s="8"/>
      <c r="AB3" s="8"/>
    </row>
    <row r="4" spans="2:28" ht="12.75" customHeight="1" x14ac:dyDescent="0.35">
      <c r="B4" s="7"/>
      <c r="C4" s="976" t="s">
        <v>71</v>
      </c>
      <c r="D4" s="976"/>
      <c r="E4" s="976"/>
      <c r="F4" s="976"/>
      <c r="G4" s="976"/>
      <c r="H4" s="976"/>
      <c r="I4" s="976"/>
      <c r="J4" s="976"/>
      <c r="K4" s="976"/>
      <c r="L4" s="976"/>
      <c r="M4" s="976"/>
      <c r="N4" s="976"/>
      <c r="O4" s="8"/>
      <c r="P4" s="8"/>
      <c r="Q4" s="8"/>
      <c r="R4" s="8"/>
      <c r="S4" s="8"/>
      <c r="T4" s="8"/>
      <c r="U4" s="8"/>
      <c r="V4" s="8"/>
      <c r="W4" s="8"/>
      <c r="X4" s="8"/>
      <c r="Y4" s="8"/>
      <c r="Z4" s="8"/>
      <c r="AA4" s="8"/>
      <c r="AB4" s="8"/>
    </row>
    <row r="5" spans="2:28" ht="12.75" customHeight="1" x14ac:dyDescent="0.35">
      <c r="B5" s="7"/>
      <c r="C5" s="977"/>
      <c r="D5" s="977"/>
      <c r="E5" s="977"/>
      <c r="F5" s="977"/>
      <c r="G5" s="977"/>
      <c r="H5" s="977"/>
      <c r="I5" s="977"/>
      <c r="J5" s="977"/>
      <c r="K5" s="977"/>
      <c r="L5" s="977"/>
      <c r="M5" s="977"/>
      <c r="N5" s="977"/>
      <c r="O5" s="8"/>
      <c r="P5" s="8"/>
      <c r="Q5" s="8"/>
      <c r="R5" s="8"/>
      <c r="S5" s="8"/>
      <c r="T5" s="8"/>
      <c r="U5" s="8"/>
      <c r="V5" s="8"/>
      <c r="W5" s="8"/>
      <c r="X5" s="8"/>
      <c r="Y5" s="8"/>
      <c r="Z5" s="8"/>
      <c r="AA5" s="8"/>
      <c r="AB5" s="8"/>
    </row>
    <row r="6" spans="2:28" ht="12.75" customHeight="1" x14ac:dyDescent="0.35">
      <c r="B6" s="7"/>
      <c r="C6" s="8"/>
      <c r="D6" s="181"/>
      <c r="E6" s="181"/>
      <c r="F6" s="181"/>
      <c r="G6" s="182"/>
      <c r="H6" s="181"/>
      <c r="I6" s="181"/>
      <c r="J6" s="181"/>
      <c r="K6" s="181"/>
      <c r="L6" s="181"/>
      <c r="M6" s="8"/>
      <c r="N6" s="8"/>
      <c r="O6" s="8"/>
      <c r="P6" s="8"/>
      <c r="Q6" s="8"/>
      <c r="R6" s="181"/>
      <c r="S6" s="8"/>
      <c r="T6" s="8"/>
      <c r="U6" s="8"/>
      <c r="V6" s="8"/>
      <c r="W6" s="8"/>
      <c r="X6" s="8"/>
      <c r="Y6" s="181"/>
      <c r="Z6" s="8"/>
      <c r="AA6" s="8"/>
      <c r="AB6" s="8"/>
    </row>
    <row r="7" spans="2:28" ht="12.75" customHeight="1" x14ac:dyDescent="0.35">
      <c r="B7" s="7"/>
      <c r="C7" s="8"/>
      <c r="D7" s="181"/>
      <c r="E7" s="181"/>
      <c r="F7" s="181"/>
      <c r="G7" s="182"/>
      <c r="H7" s="181"/>
      <c r="I7" s="181"/>
      <c r="J7" s="181"/>
      <c r="K7" s="181"/>
      <c r="L7" s="181"/>
      <c r="M7" s="8"/>
      <c r="N7" s="8"/>
      <c r="O7" s="8"/>
      <c r="P7" s="8"/>
      <c r="Q7" s="8"/>
      <c r="R7" s="181"/>
      <c r="S7" s="8"/>
      <c r="T7" s="8"/>
      <c r="U7" s="8"/>
      <c r="V7" s="8"/>
      <c r="W7" s="8"/>
      <c r="X7" s="8"/>
      <c r="Y7" s="181"/>
      <c r="Z7" s="8"/>
      <c r="AA7" s="8"/>
      <c r="AB7" s="8"/>
    </row>
    <row r="8" spans="2:28" ht="12.75" customHeight="1" x14ac:dyDescent="0.35">
      <c r="B8" s="969" t="s">
        <v>183</v>
      </c>
      <c r="C8" s="969"/>
      <c r="D8" s="969"/>
      <c r="E8" s="969"/>
      <c r="F8" s="181"/>
      <c r="G8" s="182"/>
      <c r="H8" s="181"/>
      <c r="I8" s="181"/>
      <c r="J8" s="181"/>
      <c r="K8" s="181"/>
      <c r="L8" s="181"/>
      <c r="M8" s="8"/>
      <c r="N8" s="8"/>
      <c r="O8" s="8"/>
      <c r="P8" s="8"/>
      <c r="Q8" s="8"/>
      <c r="R8" s="181"/>
      <c r="S8" s="8"/>
      <c r="T8" s="8"/>
      <c r="U8" s="8"/>
      <c r="V8" s="8"/>
      <c r="W8" s="8"/>
      <c r="X8" s="8"/>
      <c r="Y8" s="181"/>
      <c r="Z8" s="8"/>
      <c r="AA8" s="8"/>
      <c r="AB8" s="8"/>
    </row>
    <row r="9" spans="2:28" ht="12.75" customHeight="1" x14ac:dyDescent="0.35">
      <c r="B9" s="7"/>
      <c r="C9" s="8"/>
      <c r="D9" s="181"/>
      <c r="E9" s="181"/>
      <c r="F9" s="181"/>
      <c r="G9" s="182"/>
      <c r="H9" s="181"/>
      <c r="I9" s="181"/>
      <c r="J9" s="181"/>
      <c r="K9" s="181"/>
      <c r="L9" s="181"/>
      <c r="M9" s="8"/>
      <c r="N9" s="8"/>
      <c r="O9" s="8"/>
      <c r="P9" s="8"/>
      <c r="Q9" s="8"/>
      <c r="R9" s="181"/>
      <c r="S9" s="8"/>
      <c r="T9" s="8"/>
      <c r="U9" s="8"/>
      <c r="V9" s="8"/>
      <c r="W9" s="8"/>
      <c r="X9" s="8"/>
      <c r="Y9" s="181"/>
      <c r="Z9" s="8"/>
      <c r="AA9" s="8"/>
      <c r="AB9" s="8"/>
    </row>
    <row r="10" spans="2:28" ht="12.75" customHeight="1" x14ac:dyDescent="0.25">
      <c r="B10" s="7"/>
      <c r="C10" s="8"/>
      <c r="D10" s="8"/>
      <c r="E10" s="8"/>
      <c r="F10" s="8"/>
      <c r="G10" s="180"/>
      <c r="H10" s="8"/>
      <c r="I10" s="8"/>
      <c r="J10" s="8"/>
      <c r="K10" s="8"/>
      <c r="L10" s="8"/>
      <c r="M10" s="8"/>
      <c r="N10" s="8"/>
      <c r="O10" s="8"/>
      <c r="P10" s="8"/>
      <c r="Q10" s="8"/>
      <c r="R10" s="8"/>
      <c r="S10" s="8"/>
      <c r="T10" s="8"/>
      <c r="U10" s="8"/>
      <c r="V10" s="8"/>
      <c r="W10" s="8"/>
      <c r="X10" s="8"/>
      <c r="Y10" s="8"/>
      <c r="Z10" s="8"/>
      <c r="AA10" s="8"/>
      <c r="AB10" s="8"/>
    </row>
    <row r="11" spans="2:28" ht="12.75" customHeight="1" x14ac:dyDescent="0.25">
      <c r="B11" s="122"/>
      <c r="C11" s="974" t="s">
        <v>184</v>
      </c>
      <c r="D11" s="974"/>
      <c r="E11" s="974"/>
      <c r="F11" s="974"/>
      <c r="G11" s="974"/>
      <c r="H11" s="974" t="s">
        <v>185</v>
      </c>
      <c r="I11" s="974"/>
      <c r="J11" s="974"/>
      <c r="K11" s="974"/>
      <c r="L11" s="974"/>
      <c r="M11" s="974"/>
      <c r="N11" s="974"/>
      <c r="O11" s="974" t="s">
        <v>186</v>
      </c>
      <c r="P11" s="974"/>
      <c r="Q11" s="974"/>
      <c r="R11" s="974"/>
      <c r="S11" s="974"/>
      <c r="T11" s="974"/>
      <c r="U11" s="974"/>
      <c r="V11" s="974" t="s">
        <v>187</v>
      </c>
      <c r="W11" s="974"/>
      <c r="X11" s="974"/>
      <c r="Y11" s="974"/>
      <c r="Z11" s="974"/>
      <c r="AA11" s="974"/>
      <c r="AB11" s="974"/>
    </row>
    <row r="12" spans="2:28" ht="52.75" customHeight="1" x14ac:dyDescent="0.25">
      <c r="B12" s="183" t="s">
        <v>188</v>
      </c>
      <c r="C12" s="184" t="s">
        <v>189</v>
      </c>
      <c r="D12" s="798" t="s">
        <v>190</v>
      </c>
      <c r="E12" s="799" t="s">
        <v>191</v>
      </c>
      <c r="F12" s="800" t="s">
        <v>192</v>
      </c>
      <c r="G12" s="801" t="s">
        <v>193</v>
      </c>
      <c r="H12" s="805" t="s">
        <v>171</v>
      </c>
      <c r="I12" s="190" t="s">
        <v>194</v>
      </c>
      <c r="J12" s="185" t="s">
        <v>190</v>
      </c>
      <c r="K12" s="186" t="s">
        <v>191</v>
      </c>
      <c r="L12" s="191" t="s">
        <v>195</v>
      </c>
      <c r="M12" s="187" t="s">
        <v>192</v>
      </c>
      <c r="N12" s="192" t="s">
        <v>196</v>
      </c>
      <c r="O12" s="189" t="s">
        <v>171</v>
      </c>
      <c r="P12" s="190" t="s">
        <v>194</v>
      </c>
      <c r="Q12" s="185" t="s">
        <v>190</v>
      </c>
      <c r="R12" s="186" t="s">
        <v>191</v>
      </c>
      <c r="S12" s="191" t="s">
        <v>195</v>
      </c>
      <c r="T12" s="187" t="s">
        <v>192</v>
      </c>
      <c r="U12" s="192" t="s">
        <v>196</v>
      </c>
      <c r="V12" s="189" t="s">
        <v>171</v>
      </c>
      <c r="W12" s="190" t="s">
        <v>194</v>
      </c>
      <c r="X12" s="185" t="s">
        <v>190</v>
      </c>
      <c r="Y12" s="186" t="s">
        <v>191</v>
      </c>
      <c r="Z12" s="191" t="s">
        <v>195</v>
      </c>
      <c r="AA12" s="187" t="s">
        <v>192</v>
      </c>
      <c r="AB12" s="192" t="s">
        <v>196</v>
      </c>
    </row>
    <row r="13" spans="2:28" ht="12.75" customHeight="1" x14ac:dyDescent="0.25">
      <c r="B13" s="912" t="str">
        <f>'Memória-custo MO'!A10</f>
        <v>Gerente operacional</v>
      </c>
      <c r="C13" s="193">
        <v>15</v>
      </c>
      <c r="D13" s="802">
        <v>1550</v>
      </c>
      <c r="E13" s="803">
        <f t="shared" ref="E13:E28" si="0">(40*12)</f>
        <v>480</v>
      </c>
      <c r="F13" s="804">
        <v>227</v>
      </c>
      <c r="G13" s="801">
        <f>(5.45*0.15*22)*2</f>
        <v>35.97</v>
      </c>
      <c r="H13" s="806">
        <f>'Memoria-equipamentoXfuncionario'!F49</f>
        <v>1</v>
      </c>
      <c r="I13" s="198">
        <f>C13</f>
        <v>15</v>
      </c>
      <c r="J13" s="199">
        <f>($D13*H13)/0.85</f>
        <v>1823.5294117647059</v>
      </c>
      <c r="K13" s="200">
        <f>($E13*H13)/0.941</f>
        <v>510.09564293304999</v>
      </c>
      <c r="L13" s="201">
        <f t="shared" ref="L13:L28" si="1">H13</f>
        <v>1</v>
      </c>
      <c r="M13" s="202">
        <f>($F13*H13)/0.85</f>
        <v>267.05882352941177</v>
      </c>
      <c r="N13" s="203">
        <f>($G13*H13)/0.9579</f>
        <v>37.550892577513309</v>
      </c>
      <c r="O13" s="197">
        <f>H13</f>
        <v>1</v>
      </c>
      <c r="P13" s="198">
        <f t="shared" ref="P13:P28" si="2">$C13*O13</f>
        <v>15</v>
      </c>
      <c r="Q13" s="199">
        <f>J13/0.85</f>
        <v>2145.3287197231834</v>
      </c>
      <c r="R13" s="200">
        <f>K13/0.941</f>
        <v>542.07826029017008</v>
      </c>
      <c r="S13" s="201">
        <f>L13</f>
        <v>1</v>
      </c>
      <c r="T13" s="202">
        <f>M13/0.85</f>
        <v>314.18685121107268</v>
      </c>
      <c r="U13" s="203">
        <f>N13/0.9579</f>
        <v>39.20126587066845</v>
      </c>
      <c r="V13" s="204">
        <f>O13</f>
        <v>1</v>
      </c>
      <c r="W13" s="198">
        <f t="shared" ref="W13:W28" si="3">$C13*V13</f>
        <v>15</v>
      </c>
      <c r="X13" s="199">
        <f>Q13/0.85</f>
        <v>2523.9161408508039</v>
      </c>
      <c r="Y13" s="200">
        <f>R13/0.941</f>
        <v>576.066163964049</v>
      </c>
      <c r="Z13" s="201">
        <f>L13</f>
        <v>1</v>
      </c>
      <c r="AA13" s="202">
        <f>T13/0.85</f>
        <v>369.63158966008552</v>
      </c>
      <c r="AB13" s="203">
        <f>U13/0.9579</f>
        <v>40.924173578315539</v>
      </c>
    </row>
    <row r="14" spans="2:28" ht="12.75" customHeight="1" x14ac:dyDescent="0.25">
      <c r="B14" s="790" t="s">
        <v>99</v>
      </c>
      <c r="C14" s="193">
        <v>15</v>
      </c>
      <c r="D14" s="802">
        <v>1551</v>
      </c>
      <c r="E14" s="803">
        <f t="shared" si="0"/>
        <v>480</v>
      </c>
      <c r="F14" s="804">
        <v>228</v>
      </c>
      <c r="G14" s="801">
        <f t="shared" ref="G14:G19" si="4">(5.45*0.15*22)*2</f>
        <v>35.97</v>
      </c>
      <c r="H14" s="806">
        <f>'Memoria-equipamentoXfuncionario'!F50</f>
        <v>1</v>
      </c>
      <c r="I14" s="198">
        <f t="shared" ref="I14:I19" si="5">C14</f>
        <v>15</v>
      </c>
      <c r="J14" s="199">
        <f t="shared" ref="J14:J19" si="6">($D14*H14)/0.85</f>
        <v>1824.7058823529412</v>
      </c>
      <c r="K14" s="200">
        <f t="shared" ref="K14:K18" si="7">($E14*H14)/0.941</f>
        <v>510.09564293304999</v>
      </c>
      <c r="L14" s="201">
        <f t="shared" ref="L14:L19" si="8">H14</f>
        <v>1</v>
      </c>
      <c r="M14" s="202">
        <f t="shared" ref="M14:M19" si="9">($F14*H14)/0.85</f>
        <v>268.23529411764707</v>
      </c>
      <c r="N14" s="203">
        <f t="shared" ref="N14:N19" si="10">($G14*H14)/0.9579</f>
        <v>37.550892577513309</v>
      </c>
      <c r="O14" s="197">
        <f t="shared" ref="O14:O19" si="11">H14</f>
        <v>1</v>
      </c>
      <c r="P14" s="198">
        <f t="shared" ref="P14:P19" si="12">$C14*O14</f>
        <v>15</v>
      </c>
      <c r="Q14" s="199">
        <f t="shared" ref="Q14:Q19" si="13">J14/0.85</f>
        <v>2146.7128027681661</v>
      </c>
      <c r="R14" s="200">
        <f t="shared" ref="R14:R19" si="14">K14/0.941</f>
        <v>542.07826029017008</v>
      </c>
      <c r="S14" s="201">
        <f t="shared" ref="S14:S19" si="15">L14</f>
        <v>1</v>
      </c>
      <c r="T14" s="202">
        <f t="shared" ref="T14:T19" si="16">M14/0.85</f>
        <v>315.57093425605541</v>
      </c>
      <c r="U14" s="203">
        <f t="shared" ref="U14:U19" si="17">N14/0.9579</f>
        <v>39.20126587066845</v>
      </c>
      <c r="V14" s="204">
        <f t="shared" ref="V14:V19" si="18">O14</f>
        <v>1</v>
      </c>
      <c r="W14" s="198">
        <f t="shared" ref="W14:W19" si="19">$C14*V14</f>
        <v>15</v>
      </c>
      <c r="X14" s="199">
        <f t="shared" ref="X14:X19" si="20">Q14/0.85</f>
        <v>2525.5444738449014</v>
      </c>
      <c r="Y14" s="200">
        <f t="shared" ref="Y14:Y19" si="21">R14/0.941</f>
        <v>576.066163964049</v>
      </c>
      <c r="Z14" s="201">
        <f t="shared" ref="Z14:Z19" si="22">L14</f>
        <v>1</v>
      </c>
      <c r="AA14" s="202">
        <f t="shared" ref="AA14:AA19" si="23">T14/0.85</f>
        <v>371.25992265418284</v>
      </c>
      <c r="AB14" s="203">
        <f t="shared" ref="AB14:AB19" si="24">U14/0.9579</f>
        <v>40.924173578315539</v>
      </c>
    </row>
    <row r="15" spans="2:28" ht="12.75" customHeight="1" x14ac:dyDescent="0.25">
      <c r="B15" s="790" t="s">
        <v>100</v>
      </c>
      <c r="C15" s="193">
        <v>15</v>
      </c>
      <c r="D15" s="802">
        <v>1552</v>
      </c>
      <c r="E15" s="803">
        <f t="shared" si="0"/>
        <v>480</v>
      </c>
      <c r="F15" s="804">
        <v>229</v>
      </c>
      <c r="G15" s="801">
        <f t="shared" si="4"/>
        <v>35.97</v>
      </c>
      <c r="H15" s="806">
        <v>1</v>
      </c>
      <c r="I15" s="198">
        <f t="shared" si="5"/>
        <v>15</v>
      </c>
      <c r="J15" s="199">
        <f t="shared" si="6"/>
        <v>1825.8823529411766</v>
      </c>
      <c r="K15" s="200">
        <f t="shared" si="7"/>
        <v>510.09564293304999</v>
      </c>
      <c r="L15" s="201">
        <f t="shared" si="8"/>
        <v>1</v>
      </c>
      <c r="M15" s="202">
        <f t="shared" si="9"/>
        <v>269.41176470588238</v>
      </c>
      <c r="N15" s="203">
        <f t="shared" si="10"/>
        <v>37.550892577513309</v>
      </c>
      <c r="O15" s="197">
        <f t="shared" si="11"/>
        <v>1</v>
      </c>
      <c r="P15" s="198">
        <f t="shared" si="12"/>
        <v>15</v>
      </c>
      <c r="Q15" s="199">
        <f t="shared" si="13"/>
        <v>2148.0968858131491</v>
      </c>
      <c r="R15" s="200">
        <f t="shared" si="14"/>
        <v>542.07826029017008</v>
      </c>
      <c r="S15" s="201">
        <f t="shared" si="15"/>
        <v>1</v>
      </c>
      <c r="T15" s="202">
        <f t="shared" si="16"/>
        <v>316.95501730103808</v>
      </c>
      <c r="U15" s="203">
        <f t="shared" si="17"/>
        <v>39.20126587066845</v>
      </c>
      <c r="V15" s="204">
        <f t="shared" si="18"/>
        <v>1</v>
      </c>
      <c r="W15" s="198">
        <f t="shared" si="19"/>
        <v>15</v>
      </c>
      <c r="X15" s="199">
        <f t="shared" si="20"/>
        <v>2527.1728068389989</v>
      </c>
      <c r="Y15" s="200">
        <f t="shared" si="21"/>
        <v>576.066163964049</v>
      </c>
      <c r="Z15" s="201">
        <f t="shared" si="22"/>
        <v>1</v>
      </c>
      <c r="AA15" s="202">
        <f t="shared" si="23"/>
        <v>372.88825564828011</v>
      </c>
      <c r="AB15" s="203">
        <f t="shared" si="24"/>
        <v>40.924173578315539</v>
      </c>
    </row>
    <row r="16" spans="2:28" ht="12.75" customHeight="1" x14ac:dyDescent="0.25">
      <c r="B16" s="790" t="s">
        <v>101</v>
      </c>
      <c r="C16" s="193">
        <v>20</v>
      </c>
      <c r="D16" s="802">
        <v>1553</v>
      </c>
      <c r="E16" s="803">
        <f t="shared" si="0"/>
        <v>480</v>
      </c>
      <c r="F16" s="804">
        <v>230</v>
      </c>
      <c r="G16" s="801">
        <f t="shared" si="4"/>
        <v>35.97</v>
      </c>
      <c r="H16" s="806">
        <v>1</v>
      </c>
      <c r="I16" s="198">
        <f t="shared" si="5"/>
        <v>20</v>
      </c>
      <c r="J16" s="199">
        <f t="shared" si="6"/>
        <v>1827.0588235294117</v>
      </c>
      <c r="K16" s="200">
        <f t="shared" si="7"/>
        <v>510.09564293304999</v>
      </c>
      <c r="L16" s="201">
        <f t="shared" si="8"/>
        <v>1</v>
      </c>
      <c r="M16" s="202">
        <f t="shared" si="9"/>
        <v>270.58823529411768</v>
      </c>
      <c r="N16" s="203">
        <f t="shared" si="10"/>
        <v>37.550892577513309</v>
      </c>
      <c r="O16" s="197">
        <f t="shared" si="11"/>
        <v>1</v>
      </c>
      <c r="P16" s="198">
        <f t="shared" si="12"/>
        <v>20</v>
      </c>
      <c r="Q16" s="199">
        <f t="shared" si="13"/>
        <v>2149.4809688581313</v>
      </c>
      <c r="R16" s="200">
        <f t="shared" si="14"/>
        <v>542.07826029017008</v>
      </c>
      <c r="S16" s="201">
        <f t="shared" si="15"/>
        <v>1</v>
      </c>
      <c r="T16" s="202">
        <f t="shared" si="16"/>
        <v>318.33910034602081</v>
      </c>
      <c r="U16" s="203">
        <f t="shared" si="17"/>
        <v>39.20126587066845</v>
      </c>
      <c r="V16" s="204">
        <f t="shared" si="18"/>
        <v>1</v>
      </c>
      <c r="W16" s="198">
        <f t="shared" si="19"/>
        <v>20</v>
      </c>
      <c r="X16" s="199">
        <f t="shared" si="20"/>
        <v>2528.8011398330955</v>
      </c>
      <c r="Y16" s="200">
        <f t="shared" si="21"/>
        <v>576.066163964049</v>
      </c>
      <c r="Z16" s="201">
        <f t="shared" si="22"/>
        <v>1</v>
      </c>
      <c r="AA16" s="202">
        <f t="shared" si="23"/>
        <v>374.51658864237743</v>
      </c>
      <c r="AB16" s="203">
        <f t="shared" si="24"/>
        <v>40.924173578315539</v>
      </c>
    </row>
    <row r="17" spans="2:28" ht="12.75" customHeight="1" x14ac:dyDescent="0.25">
      <c r="B17" s="790" t="s">
        <v>102</v>
      </c>
      <c r="C17" s="193">
        <v>15</v>
      </c>
      <c r="D17" s="802">
        <v>1554</v>
      </c>
      <c r="E17" s="803">
        <f t="shared" si="0"/>
        <v>480</v>
      </c>
      <c r="F17" s="804">
        <v>231</v>
      </c>
      <c r="G17" s="801">
        <f t="shared" si="4"/>
        <v>35.97</v>
      </c>
      <c r="H17" s="806">
        <v>1</v>
      </c>
      <c r="I17" s="198">
        <f t="shared" si="5"/>
        <v>15</v>
      </c>
      <c r="J17" s="199">
        <f t="shared" si="6"/>
        <v>1828.2352941176471</v>
      </c>
      <c r="K17" s="200">
        <f t="shared" si="7"/>
        <v>510.09564293304999</v>
      </c>
      <c r="L17" s="201">
        <f t="shared" si="8"/>
        <v>1</v>
      </c>
      <c r="M17" s="202">
        <f t="shared" si="9"/>
        <v>271.76470588235293</v>
      </c>
      <c r="N17" s="203">
        <f t="shared" si="10"/>
        <v>37.550892577513309</v>
      </c>
      <c r="O17" s="197">
        <f t="shared" si="11"/>
        <v>1</v>
      </c>
      <c r="P17" s="198">
        <f t="shared" si="12"/>
        <v>15</v>
      </c>
      <c r="Q17" s="199">
        <f t="shared" si="13"/>
        <v>2150.8650519031144</v>
      </c>
      <c r="R17" s="200">
        <f t="shared" si="14"/>
        <v>542.07826029017008</v>
      </c>
      <c r="S17" s="201">
        <f t="shared" si="15"/>
        <v>1</v>
      </c>
      <c r="T17" s="202">
        <f t="shared" si="16"/>
        <v>319.72318339100343</v>
      </c>
      <c r="U17" s="203">
        <f t="shared" si="17"/>
        <v>39.20126587066845</v>
      </c>
      <c r="V17" s="204">
        <f t="shared" si="18"/>
        <v>1</v>
      </c>
      <c r="W17" s="198">
        <f t="shared" si="19"/>
        <v>15</v>
      </c>
      <c r="X17" s="199">
        <f t="shared" si="20"/>
        <v>2530.4294728271934</v>
      </c>
      <c r="Y17" s="200">
        <f t="shared" si="21"/>
        <v>576.066163964049</v>
      </c>
      <c r="Z17" s="201">
        <f t="shared" si="22"/>
        <v>1</v>
      </c>
      <c r="AA17" s="202">
        <f t="shared" si="23"/>
        <v>376.14492163647463</v>
      </c>
      <c r="AB17" s="203">
        <f t="shared" si="24"/>
        <v>40.924173578315539</v>
      </c>
    </row>
    <row r="18" spans="2:28" ht="11.5" customHeight="1" x14ac:dyDescent="0.25">
      <c r="B18" s="790" t="s">
        <v>103</v>
      </c>
      <c r="C18" s="193">
        <v>15</v>
      </c>
      <c r="D18" s="802">
        <v>1555</v>
      </c>
      <c r="E18" s="803">
        <f t="shared" si="0"/>
        <v>480</v>
      </c>
      <c r="F18" s="804">
        <v>232</v>
      </c>
      <c r="G18" s="801">
        <f t="shared" si="4"/>
        <v>35.97</v>
      </c>
      <c r="H18" s="806">
        <v>1</v>
      </c>
      <c r="I18" s="198">
        <f t="shared" si="5"/>
        <v>15</v>
      </c>
      <c r="J18" s="199">
        <f t="shared" si="6"/>
        <v>1829.4117647058824</v>
      </c>
      <c r="K18" s="200">
        <f t="shared" si="7"/>
        <v>510.09564293304999</v>
      </c>
      <c r="L18" s="201">
        <f t="shared" si="8"/>
        <v>1</v>
      </c>
      <c r="M18" s="202">
        <f t="shared" si="9"/>
        <v>272.94117647058823</v>
      </c>
      <c r="N18" s="203">
        <f t="shared" si="10"/>
        <v>37.550892577513309</v>
      </c>
      <c r="O18" s="197">
        <f t="shared" si="11"/>
        <v>1</v>
      </c>
      <c r="P18" s="198">
        <f t="shared" si="12"/>
        <v>15</v>
      </c>
      <c r="Q18" s="199">
        <f t="shared" si="13"/>
        <v>2152.249134948097</v>
      </c>
      <c r="R18" s="200">
        <f t="shared" si="14"/>
        <v>542.07826029017008</v>
      </c>
      <c r="S18" s="201">
        <f t="shared" si="15"/>
        <v>1</v>
      </c>
      <c r="T18" s="202">
        <f t="shared" si="16"/>
        <v>321.10726643598616</v>
      </c>
      <c r="U18" s="203">
        <f t="shared" si="17"/>
        <v>39.20126587066845</v>
      </c>
      <c r="V18" s="204">
        <f t="shared" si="18"/>
        <v>1</v>
      </c>
      <c r="W18" s="198">
        <f t="shared" si="19"/>
        <v>15</v>
      </c>
      <c r="X18" s="199">
        <f t="shared" si="20"/>
        <v>2532.0578058212905</v>
      </c>
      <c r="Y18" s="200">
        <f t="shared" si="21"/>
        <v>576.066163964049</v>
      </c>
      <c r="Z18" s="201">
        <f t="shared" si="22"/>
        <v>1</v>
      </c>
      <c r="AA18" s="202">
        <f t="shared" si="23"/>
        <v>377.77325463057196</v>
      </c>
      <c r="AB18" s="203">
        <f t="shared" si="24"/>
        <v>40.924173578315539</v>
      </c>
    </row>
    <row r="19" spans="2:28" ht="12.75" customHeight="1" x14ac:dyDescent="0.25">
      <c r="B19" s="790" t="s">
        <v>104</v>
      </c>
      <c r="C19" s="193">
        <v>15</v>
      </c>
      <c r="D19" s="802">
        <v>1556</v>
      </c>
      <c r="E19" s="803">
        <f t="shared" si="0"/>
        <v>480</v>
      </c>
      <c r="F19" s="804">
        <v>233</v>
      </c>
      <c r="G19" s="801">
        <f t="shared" si="4"/>
        <v>35.97</v>
      </c>
      <c r="H19" s="806">
        <v>2</v>
      </c>
      <c r="I19" s="198">
        <f t="shared" si="5"/>
        <v>15</v>
      </c>
      <c r="J19" s="199">
        <f t="shared" si="6"/>
        <v>3661.1764705882356</v>
      </c>
      <c r="K19" s="200">
        <f>($E19*H19)/0.941</f>
        <v>1020.1912858661</v>
      </c>
      <c r="L19" s="201">
        <f t="shared" si="8"/>
        <v>2</v>
      </c>
      <c r="M19" s="202">
        <f t="shared" si="9"/>
        <v>548.23529411764707</v>
      </c>
      <c r="N19" s="203">
        <f t="shared" si="10"/>
        <v>75.101785155026619</v>
      </c>
      <c r="O19" s="197">
        <f t="shared" si="11"/>
        <v>2</v>
      </c>
      <c r="P19" s="198">
        <f t="shared" si="12"/>
        <v>30</v>
      </c>
      <c r="Q19" s="199">
        <f t="shared" si="13"/>
        <v>4307.2664359861592</v>
      </c>
      <c r="R19" s="200">
        <f t="shared" si="14"/>
        <v>1084.1565205803402</v>
      </c>
      <c r="S19" s="201">
        <f t="shared" si="15"/>
        <v>2</v>
      </c>
      <c r="T19" s="202">
        <f t="shared" si="16"/>
        <v>644.98269896193779</v>
      </c>
      <c r="U19" s="203">
        <f t="shared" si="17"/>
        <v>78.402531741336901</v>
      </c>
      <c r="V19" s="204">
        <f t="shared" si="18"/>
        <v>2</v>
      </c>
      <c r="W19" s="198">
        <f t="shared" si="19"/>
        <v>30</v>
      </c>
      <c r="X19" s="199">
        <f t="shared" si="20"/>
        <v>5067.3722776307759</v>
      </c>
      <c r="Y19" s="200">
        <f t="shared" si="21"/>
        <v>1152.132327928098</v>
      </c>
      <c r="Z19" s="201">
        <f t="shared" si="22"/>
        <v>2</v>
      </c>
      <c r="AA19" s="202">
        <f t="shared" si="23"/>
        <v>758.80317524933855</v>
      </c>
      <c r="AB19" s="203">
        <f t="shared" si="24"/>
        <v>81.848347156631078</v>
      </c>
    </row>
    <row r="20" spans="2:28" ht="12.75" customHeight="1" x14ac:dyDescent="0.25">
      <c r="B20" s="912" t="str">
        <f>'Memória-custo MO'!A17</f>
        <v>Supervisor Adminstrivo</v>
      </c>
      <c r="C20" s="193">
        <v>15</v>
      </c>
      <c r="D20" s="802">
        <v>1550</v>
      </c>
      <c r="E20" s="803">
        <f t="shared" si="0"/>
        <v>480</v>
      </c>
      <c r="F20" s="804">
        <f t="shared" ref="F20:F28" si="25">$F$13</f>
        <v>227</v>
      </c>
      <c r="G20" s="801">
        <f t="shared" ref="G20:G28" si="26">$G$13</f>
        <v>35.97</v>
      </c>
      <c r="H20" s="806">
        <f>'Memoria-equipamentoXfuncionario'!F50</f>
        <v>1</v>
      </c>
      <c r="I20" s="198">
        <f t="shared" ref="I20:I28" si="27">C20</f>
        <v>15</v>
      </c>
      <c r="J20" s="199">
        <f t="shared" ref="J20:J28" si="28">($D20*H20)/0.85</f>
        <v>1823.5294117647059</v>
      </c>
      <c r="K20" s="200">
        <f t="shared" ref="K20:K27" si="29">($E20*H20)/0.941</f>
        <v>510.09564293304999</v>
      </c>
      <c r="L20" s="201">
        <f t="shared" si="1"/>
        <v>1</v>
      </c>
      <c r="M20" s="202">
        <f t="shared" ref="M20:M28" si="30">($F20*H20)/0.85</f>
        <v>267.05882352941177</v>
      </c>
      <c r="N20" s="203">
        <f t="shared" ref="N20:N28" si="31">($G20*H20)/0.9579</f>
        <v>37.550892577513309</v>
      </c>
      <c r="O20" s="197">
        <f t="shared" ref="O20:O27" si="32">H20</f>
        <v>1</v>
      </c>
      <c r="P20" s="198">
        <f t="shared" si="2"/>
        <v>15</v>
      </c>
      <c r="Q20" s="199">
        <f t="shared" ref="Q20:Q28" si="33">J20/0.85</f>
        <v>2145.3287197231834</v>
      </c>
      <c r="R20" s="200">
        <f t="shared" ref="R20:R28" si="34">K20/0.941</f>
        <v>542.07826029017008</v>
      </c>
      <c r="S20" s="201">
        <f t="shared" ref="S20:S28" si="35">L20</f>
        <v>1</v>
      </c>
      <c r="T20" s="202">
        <f t="shared" ref="T20:T28" si="36">M20/0.85</f>
        <v>314.18685121107268</v>
      </c>
      <c r="U20" s="203">
        <f t="shared" ref="U20:U28" si="37">N20/0.9579</f>
        <v>39.20126587066845</v>
      </c>
      <c r="V20" s="204">
        <f t="shared" ref="V20:V28" si="38">O20</f>
        <v>1</v>
      </c>
      <c r="W20" s="198">
        <f t="shared" si="3"/>
        <v>15</v>
      </c>
      <c r="X20" s="199">
        <f t="shared" ref="X20:X28" si="39">Q20/0.85</f>
        <v>2523.9161408508039</v>
      </c>
      <c r="Y20" s="200">
        <f t="shared" ref="Y20:Y28" si="40">R20/0.941</f>
        <v>576.066163964049</v>
      </c>
      <c r="Z20" s="201">
        <f t="shared" ref="Z20:Z28" si="41">L20</f>
        <v>1</v>
      </c>
      <c r="AA20" s="202">
        <f t="shared" ref="AA20:AA28" si="42">T20/0.85</f>
        <v>369.63158966008552</v>
      </c>
      <c r="AB20" s="203">
        <f t="shared" ref="AB20:AB28" si="43">U20/0.9579</f>
        <v>40.924173578315539</v>
      </c>
    </row>
    <row r="21" spans="2:28" ht="12.75" customHeight="1" x14ac:dyDescent="0.25">
      <c r="B21" s="912" t="str">
        <f>'Memória-custo MO'!A18</f>
        <v>Auxiliar Administrativo</v>
      </c>
      <c r="C21" s="193">
        <v>15</v>
      </c>
      <c r="D21" s="802">
        <v>1550</v>
      </c>
      <c r="E21" s="803">
        <f t="shared" si="0"/>
        <v>480</v>
      </c>
      <c r="F21" s="804">
        <f t="shared" si="25"/>
        <v>227</v>
      </c>
      <c r="G21" s="801">
        <f t="shared" si="26"/>
        <v>35.97</v>
      </c>
      <c r="H21" s="806">
        <f>'Memoria-equipamentoXfuncionario'!F51</f>
        <v>4</v>
      </c>
      <c r="I21" s="198">
        <f t="shared" si="27"/>
        <v>15</v>
      </c>
      <c r="J21" s="199">
        <f t="shared" si="28"/>
        <v>7294.1176470588234</v>
      </c>
      <c r="K21" s="200">
        <f>($E21*H21)/0.941</f>
        <v>2040.3825717321999</v>
      </c>
      <c r="L21" s="201">
        <f t="shared" si="1"/>
        <v>4</v>
      </c>
      <c r="M21" s="202">
        <f t="shared" si="30"/>
        <v>1068.2352941176471</v>
      </c>
      <c r="N21" s="203">
        <f t="shared" si="31"/>
        <v>150.20357031005324</v>
      </c>
      <c r="O21" s="197">
        <f t="shared" si="32"/>
        <v>4</v>
      </c>
      <c r="P21" s="198">
        <f t="shared" si="2"/>
        <v>60</v>
      </c>
      <c r="Q21" s="199">
        <f t="shared" si="33"/>
        <v>8581.3148788927338</v>
      </c>
      <c r="R21" s="200">
        <f t="shared" si="34"/>
        <v>2168.3130411606803</v>
      </c>
      <c r="S21" s="201">
        <f t="shared" si="35"/>
        <v>4</v>
      </c>
      <c r="T21" s="202">
        <f t="shared" si="36"/>
        <v>1256.7474048442907</v>
      </c>
      <c r="U21" s="203">
        <f t="shared" si="37"/>
        <v>156.8050634826738</v>
      </c>
      <c r="V21" s="204">
        <f t="shared" si="38"/>
        <v>4</v>
      </c>
      <c r="W21" s="198">
        <f t="shared" si="3"/>
        <v>60</v>
      </c>
      <c r="X21" s="199">
        <f t="shared" si="39"/>
        <v>10095.664563403216</v>
      </c>
      <c r="Y21" s="200">
        <f t="shared" si="40"/>
        <v>2304.264655856196</v>
      </c>
      <c r="Z21" s="201">
        <f t="shared" si="41"/>
        <v>4</v>
      </c>
      <c r="AA21" s="202">
        <f t="shared" si="42"/>
        <v>1478.5263586403421</v>
      </c>
      <c r="AB21" s="203">
        <f t="shared" si="43"/>
        <v>163.69669431326216</v>
      </c>
    </row>
    <row r="22" spans="2:28" ht="12.75" customHeight="1" x14ac:dyDescent="0.25">
      <c r="B22" s="912" t="str">
        <f>'Memória-custo MO'!A19</f>
        <v>Auxiliar de Serviços Gerais</v>
      </c>
      <c r="C22" s="193">
        <v>15</v>
      </c>
      <c r="D22" s="802">
        <v>1550</v>
      </c>
      <c r="E22" s="803">
        <f t="shared" si="0"/>
        <v>480</v>
      </c>
      <c r="F22" s="804">
        <f t="shared" si="25"/>
        <v>227</v>
      </c>
      <c r="G22" s="801">
        <f t="shared" si="26"/>
        <v>35.97</v>
      </c>
      <c r="H22" s="806">
        <f>'Memoria-equipamentoXfuncionario'!F52</f>
        <v>3</v>
      </c>
      <c r="I22" s="198">
        <f t="shared" si="27"/>
        <v>15</v>
      </c>
      <c r="J22" s="199">
        <f t="shared" si="28"/>
        <v>5470.588235294118</v>
      </c>
      <c r="K22" s="200">
        <f>($E22*H22)/0.941</f>
        <v>1530.28692879915</v>
      </c>
      <c r="L22" s="201">
        <v>0</v>
      </c>
      <c r="M22" s="202">
        <f t="shared" si="30"/>
        <v>801.17647058823536</v>
      </c>
      <c r="N22" s="203">
        <f t="shared" si="31"/>
        <v>112.65267773253993</v>
      </c>
      <c r="O22" s="197">
        <f t="shared" si="32"/>
        <v>3</v>
      </c>
      <c r="P22" s="198">
        <f t="shared" si="2"/>
        <v>45</v>
      </c>
      <c r="Q22" s="199">
        <f t="shared" si="33"/>
        <v>6435.9861591695508</v>
      </c>
      <c r="R22" s="200">
        <f t="shared" si="34"/>
        <v>1626.2347808705101</v>
      </c>
      <c r="S22" s="201">
        <f t="shared" si="35"/>
        <v>0</v>
      </c>
      <c r="T22" s="202">
        <f t="shared" si="36"/>
        <v>942.56055363321809</v>
      </c>
      <c r="U22" s="203">
        <f t="shared" si="37"/>
        <v>117.60379761200535</v>
      </c>
      <c r="V22" s="204">
        <f t="shared" si="38"/>
        <v>3</v>
      </c>
      <c r="W22" s="198">
        <f t="shared" si="3"/>
        <v>45</v>
      </c>
      <c r="X22" s="199">
        <f t="shared" si="39"/>
        <v>7571.7484225524131</v>
      </c>
      <c r="Y22" s="200">
        <f t="shared" si="40"/>
        <v>1728.1984918921469</v>
      </c>
      <c r="Z22" s="201">
        <f t="shared" si="41"/>
        <v>0</v>
      </c>
      <c r="AA22" s="202">
        <f t="shared" si="42"/>
        <v>1108.8947689802567</v>
      </c>
      <c r="AB22" s="203">
        <f t="shared" si="43"/>
        <v>122.77252073494661</v>
      </c>
    </row>
    <row r="23" spans="2:28" ht="12.75" customHeight="1" x14ac:dyDescent="0.25">
      <c r="B23" s="912" t="str">
        <f>'Memória-custo MO'!A20</f>
        <v>Assistente de RH</v>
      </c>
      <c r="C23" s="193">
        <v>15</v>
      </c>
      <c r="D23" s="802">
        <v>1550</v>
      </c>
      <c r="E23" s="803">
        <f t="shared" si="0"/>
        <v>480</v>
      </c>
      <c r="F23" s="804">
        <f t="shared" si="25"/>
        <v>227</v>
      </c>
      <c r="G23" s="801">
        <f t="shared" si="26"/>
        <v>35.97</v>
      </c>
      <c r="H23" s="806">
        <f>'Memoria-equipamentoXfuncionario'!F53</f>
        <v>2</v>
      </c>
      <c r="I23" s="198">
        <f t="shared" si="27"/>
        <v>15</v>
      </c>
      <c r="J23" s="199">
        <f t="shared" si="28"/>
        <v>3647.0588235294117</v>
      </c>
      <c r="K23" s="200">
        <f>($E23*H23)/0.941</f>
        <v>1020.1912858661</v>
      </c>
      <c r="L23" s="201">
        <f t="shared" si="1"/>
        <v>2</v>
      </c>
      <c r="M23" s="202">
        <f t="shared" si="30"/>
        <v>534.11764705882354</v>
      </c>
      <c r="N23" s="203">
        <f t="shared" si="31"/>
        <v>75.101785155026619</v>
      </c>
      <c r="O23" s="197">
        <f t="shared" si="32"/>
        <v>2</v>
      </c>
      <c r="P23" s="198">
        <f t="shared" si="2"/>
        <v>30</v>
      </c>
      <c r="Q23" s="199">
        <f t="shared" si="33"/>
        <v>4290.6574394463669</v>
      </c>
      <c r="R23" s="200">
        <f t="shared" si="34"/>
        <v>1084.1565205803402</v>
      </c>
      <c r="S23" s="201">
        <f t="shared" si="35"/>
        <v>2</v>
      </c>
      <c r="T23" s="202">
        <f t="shared" si="36"/>
        <v>628.37370242214536</v>
      </c>
      <c r="U23" s="203">
        <f t="shared" si="37"/>
        <v>78.402531741336901</v>
      </c>
      <c r="V23" s="204">
        <f t="shared" si="38"/>
        <v>2</v>
      </c>
      <c r="W23" s="198">
        <f t="shared" si="3"/>
        <v>30</v>
      </c>
      <c r="X23" s="199">
        <f t="shared" si="39"/>
        <v>5047.8322817016078</v>
      </c>
      <c r="Y23" s="200">
        <f t="shared" si="40"/>
        <v>1152.132327928098</v>
      </c>
      <c r="Z23" s="201">
        <f t="shared" si="41"/>
        <v>2</v>
      </c>
      <c r="AA23" s="202">
        <f t="shared" si="42"/>
        <v>739.26317932017105</v>
      </c>
      <c r="AB23" s="203">
        <f t="shared" si="43"/>
        <v>81.848347156631078</v>
      </c>
    </row>
    <row r="24" spans="2:28" ht="12.75" customHeight="1" x14ac:dyDescent="0.25">
      <c r="B24" s="912" t="str">
        <f>'Memória-custo MO'!A21</f>
        <v>Técnico de TI</v>
      </c>
      <c r="C24" s="193">
        <v>15</v>
      </c>
      <c r="D24" s="802">
        <v>1550</v>
      </c>
      <c r="E24" s="803">
        <f t="shared" si="0"/>
        <v>480</v>
      </c>
      <c r="F24" s="804">
        <f t="shared" si="25"/>
        <v>227</v>
      </c>
      <c r="G24" s="801">
        <f t="shared" si="26"/>
        <v>35.97</v>
      </c>
      <c r="H24" s="806">
        <f>'Memoria-equipamentoXfuncionario'!F54</f>
        <v>2</v>
      </c>
      <c r="I24" s="198">
        <f t="shared" si="27"/>
        <v>15</v>
      </c>
      <c r="J24" s="199">
        <f t="shared" si="28"/>
        <v>3647.0588235294117</v>
      </c>
      <c r="K24" s="200">
        <f>($E24*H24)/0.941</f>
        <v>1020.1912858661</v>
      </c>
      <c r="L24" s="201">
        <f t="shared" si="1"/>
        <v>2</v>
      </c>
      <c r="M24" s="202">
        <f t="shared" si="30"/>
        <v>534.11764705882354</v>
      </c>
      <c r="N24" s="203">
        <f t="shared" si="31"/>
        <v>75.101785155026619</v>
      </c>
      <c r="O24" s="197">
        <f t="shared" si="32"/>
        <v>2</v>
      </c>
      <c r="P24" s="198">
        <f t="shared" si="2"/>
        <v>30</v>
      </c>
      <c r="Q24" s="199">
        <f t="shared" si="33"/>
        <v>4290.6574394463669</v>
      </c>
      <c r="R24" s="200">
        <f t="shared" si="34"/>
        <v>1084.1565205803402</v>
      </c>
      <c r="S24" s="201">
        <f t="shared" si="35"/>
        <v>2</v>
      </c>
      <c r="T24" s="202">
        <f t="shared" si="36"/>
        <v>628.37370242214536</v>
      </c>
      <c r="U24" s="203">
        <f t="shared" si="37"/>
        <v>78.402531741336901</v>
      </c>
      <c r="V24" s="204">
        <f t="shared" si="38"/>
        <v>2</v>
      </c>
      <c r="W24" s="198">
        <f t="shared" si="3"/>
        <v>30</v>
      </c>
      <c r="X24" s="199">
        <f t="shared" si="39"/>
        <v>5047.8322817016078</v>
      </c>
      <c r="Y24" s="200">
        <f t="shared" si="40"/>
        <v>1152.132327928098</v>
      </c>
      <c r="Z24" s="201">
        <f t="shared" si="41"/>
        <v>2</v>
      </c>
      <c r="AA24" s="202">
        <f t="shared" si="42"/>
        <v>739.26317932017105</v>
      </c>
      <c r="AB24" s="203">
        <f t="shared" si="43"/>
        <v>81.848347156631078</v>
      </c>
    </row>
    <row r="25" spans="2:28" ht="12.75" customHeight="1" x14ac:dyDescent="0.25">
      <c r="B25" s="912" t="str">
        <f>'Memória-custo MO'!A22</f>
        <v>Responsável Técnico</v>
      </c>
      <c r="C25" s="193">
        <v>20</v>
      </c>
      <c r="D25" s="802">
        <v>1550</v>
      </c>
      <c r="E25" s="803">
        <f t="shared" si="0"/>
        <v>480</v>
      </c>
      <c r="F25" s="804">
        <f t="shared" si="25"/>
        <v>227</v>
      </c>
      <c r="G25" s="801">
        <f t="shared" si="26"/>
        <v>35.97</v>
      </c>
      <c r="H25" s="806">
        <f>'Memoria-equipamentoXfuncionario'!F55</f>
        <v>1</v>
      </c>
      <c r="I25" s="198">
        <f t="shared" si="27"/>
        <v>20</v>
      </c>
      <c r="J25" s="199">
        <f t="shared" si="28"/>
        <v>1823.5294117647059</v>
      </c>
      <c r="K25" s="200">
        <f t="shared" si="29"/>
        <v>510.09564293304999</v>
      </c>
      <c r="L25" s="201">
        <f t="shared" si="1"/>
        <v>1</v>
      </c>
      <c r="M25" s="202">
        <f t="shared" si="30"/>
        <v>267.05882352941177</v>
      </c>
      <c r="N25" s="203">
        <f t="shared" si="31"/>
        <v>37.550892577513309</v>
      </c>
      <c r="O25" s="197">
        <f t="shared" si="32"/>
        <v>1</v>
      </c>
      <c r="P25" s="198">
        <f t="shared" si="2"/>
        <v>20</v>
      </c>
      <c r="Q25" s="199">
        <f t="shared" si="33"/>
        <v>2145.3287197231834</v>
      </c>
      <c r="R25" s="200">
        <f t="shared" si="34"/>
        <v>542.07826029017008</v>
      </c>
      <c r="S25" s="201">
        <f t="shared" si="35"/>
        <v>1</v>
      </c>
      <c r="T25" s="202">
        <f t="shared" si="36"/>
        <v>314.18685121107268</v>
      </c>
      <c r="U25" s="203">
        <f t="shared" si="37"/>
        <v>39.20126587066845</v>
      </c>
      <c r="V25" s="204">
        <f t="shared" si="38"/>
        <v>1</v>
      </c>
      <c r="W25" s="198">
        <f t="shared" si="3"/>
        <v>20</v>
      </c>
      <c r="X25" s="199">
        <f t="shared" si="39"/>
        <v>2523.9161408508039</v>
      </c>
      <c r="Y25" s="200">
        <f t="shared" si="40"/>
        <v>576.066163964049</v>
      </c>
      <c r="Z25" s="201">
        <f t="shared" si="41"/>
        <v>1</v>
      </c>
      <c r="AA25" s="202">
        <f t="shared" si="42"/>
        <v>369.63158966008552</v>
      </c>
      <c r="AB25" s="203">
        <f t="shared" si="43"/>
        <v>40.924173578315539</v>
      </c>
    </row>
    <row r="26" spans="2:28" ht="12.75" customHeight="1" x14ac:dyDescent="0.25">
      <c r="B26" s="912" t="str">
        <f>'Memória-custo MO'!A23</f>
        <v>Jovem Aprendiz</v>
      </c>
      <c r="C26" s="193">
        <v>15</v>
      </c>
      <c r="D26" s="802">
        <v>1550</v>
      </c>
      <c r="E26" s="803">
        <f t="shared" si="0"/>
        <v>480</v>
      </c>
      <c r="F26" s="804">
        <f t="shared" si="25"/>
        <v>227</v>
      </c>
      <c r="G26" s="801">
        <f t="shared" si="26"/>
        <v>35.97</v>
      </c>
      <c r="H26" s="806">
        <f>'Memoria-equipamentoXfuncionario'!F56</f>
        <v>3</v>
      </c>
      <c r="I26" s="198">
        <f t="shared" si="27"/>
        <v>15</v>
      </c>
      <c r="J26" s="199">
        <f t="shared" si="28"/>
        <v>5470.588235294118</v>
      </c>
      <c r="K26" s="200">
        <f>($E26*H26)/0.941</f>
        <v>1530.28692879915</v>
      </c>
      <c r="L26" s="201">
        <f t="shared" si="1"/>
        <v>3</v>
      </c>
      <c r="M26" s="202">
        <f t="shared" si="30"/>
        <v>801.17647058823536</v>
      </c>
      <c r="N26" s="203">
        <f t="shared" si="31"/>
        <v>112.65267773253993</v>
      </c>
      <c r="O26" s="197">
        <f t="shared" si="32"/>
        <v>3</v>
      </c>
      <c r="P26" s="198">
        <f t="shared" si="2"/>
        <v>45</v>
      </c>
      <c r="Q26" s="199">
        <f t="shared" si="33"/>
        <v>6435.9861591695508</v>
      </c>
      <c r="R26" s="200">
        <f t="shared" si="34"/>
        <v>1626.2347808705101</v>
      </c>
      <c r="S26" s="201">
        <f t="shared" si="35"/>
        <v>3</v>
      </c>
      <c r="T26" s="202">
        <f t="shared" si="36"/>
        <v>942.56055363321809</v>
      </c>
      <c r="U26" s="203">
        <f t="shared" si="37"/>
        <v>117.60379761200535</v>
      </c>
      <c r="V26" s="204">
        <f t="shared" si="38"/>
        <v>3</v>
      </c>
      <c r="W26" s="198">
        <f t="shared" si="3"/>
        <v>45</v>
      </c>
      <c r="X26" s="199">
        <f>Q26/0.85</f>
        <v>7571.7484225524131</v>
      </c>
      <c r="Y26" s="200">
        <f t="shared" si="40"/>
        <v>1728.1984918921469</v>
      </c>
      <c r="Z26" s="201">
        <f t="shared" si="41"/>
        <v>3</v>
      </c>
      <c r="AA26" s="202">
        <f t="shared" si="42"/>
        <v>1108.8947689802567</v>
      </c>
      <c r="AB26" s="203">
        <f t="shared" si="43"/>
        <v>122.77252073494661</v>
      </c>
    </row>
    <row r="27" spans="2:28" ht="12.75" customHeight="1" x14ac:dyDescent="0.25">
      <c r="B27" s="912" t="str">
        <f>'Memória-custo MO'!A24</f>
        <v>Técnico de Segurança do Trabalho</v>
      </c>
      <c r="C27" s="193">
        <v>15</v>
      </c>
      <c r="D27" s="802">
        <v>1550</v>
      </c>
      <c r="E27" s="803">
        <f t="shared" si="0"/>
        <v>480</v>
      </c>
      <c r="F27" s="804">
        <f t="shared" si="25"/>
        <v>227</v>
      </c>
      <c r="G27" s="801">
        <f t="shared" si="26"/>
        <v>35.97</v>
      </c>
      <c r="H27" s="806">
        <f>'Memoria-equipamentoXfuncionario'!F57</f>
        <v>1</v>
      </c>
      <c r="I27" s="198">
        <f t="shared" si="27"/>
        <v>15</v>
      </c>
      <c r="J27" s="199">
        <f t="shared" si="28"/>
        <v>1823.5294117647059</v>
      </c>
      <c r="K27" s="200">
        <f t="shared" si="29"/>
        <v>510.09564293304999</v>
      </c>
      <c r="L27" s="201">
        <f t="shared" si="1"/>
        <v>1</v>
      </c>
      <c r="M27" s="202">
        <f t="shared" si="30"/>
        <v>267.05882352941177</v>
      </c>
      <c r="N27" s="203">
        <f t="shared" si="31"/>
        <v>37.550892577513309</v>
      </c>
      <c r="O27" s="197">
        <f t="shared" si="32"/>
        <v>1</v>
      </c>
      <c r="P27" s="198">
        <f t="shared" si="2"/>
        <v>15</v>
      </c>
      <c r="Q27" s="199">
        <f t="shared" si="33"/>
        <v>2145.3287197231834</v>
      </c>
      <c r="R27" s="200">
        <f t="shared" si="34"/>
        <v>542.07826029017008</v>
      </c>
      <c r="S27" s="201">
        <f t="shared" si="35"/>
        <v>1</v>
      </c>
      <c r="T27" s="202">
        <f t="shared" si="36"/>
        <v>314.18685121107268</v>
      </c>
      <c r="U27" s="203">
        <f t="shared" si="37"/>
        <v>39.20126587066845</v>
      </c>
      <c r="V27" s="204">
        <f t="shared" si="38"/>
        <v>1</v>
      </c>
      <c r="W27" s="198">
        <f t="shared" si="3"/>
        <v>15</v>
      </c>
      <c r="X27" s="199">
        <f t="shared" si="39"/>
        <v>2523.9161408508039</v>
      </c>
      <c r="Y27" s="200">
        <f t="shared" si="40"/>
        <v>576.066163964049</v>
      </c>
      <c r="Z27" s="201">
        <f t="shared" si="41"/>
        <v>1</v>
      </c>
      <c r="AA27" s="202">
        <f t="shared" si="42"/>
        <v>369.63158966008552</v>
      </c>
      <c r="AB27" s="203">
        <f t="shared" si="43"/>
        <v>40.924173578315539</v>
      </c>
    </row>
    <row r="28" spans="2:28" ht="12.75" customHeight="1" x14ac:dyDescent="0.25">
      <c r="B28" s="912" t="str">
        <f>'Memória-custo MO'!A25</f>
        <v>Analista de Qualidade</v>
      </c>
      <c r="C28" s="193">
        <v>15</v>
      </c>
      <c r="D28" s="802">
        <v>1550</v>
      </c>
      <c r="E28" s="803">
        <f t="shared" si="0"/>
        <v>480</v>
      </c>
      <c r="F28" s="804">
        <f t="shared" si="25"/>
        <v>227</v>
      </c>
      <c r="G28" s="801">
        <f t="shared" si="26"/>
        <v>35.97</v>
      </c>
      <c r="H28" s="806">
        <f>'Memoria-equipamentoXfuncionario'!F58</f>
        <v>2</v>
      </c>
      <c r="I28" s="198">
        <f t="shared" si="27"/>
        <v>15</v>
      </c>
      <c r="J28" s="199">
        <f t="shared" si="28"/>
        <v>3647.0588235294117</v>
      </c>
      <c r="K28" s="200">
        <f>($E28*H28)/0.941</f>
        <v>1020.1912858661</v>
      </c>
      <c r="L28" s="201">
        <f t="shared" si="1"/>
        <v>2</v>
      </c>
      <c r="M28" s="202">
        <f t="shared" si="30"/>
        <v>534.11764705882354</v>
      </c>
      <c r="N28" s="203">
        <f t="shared" si="31"/>
        <v>75.101785155026619</v>
      </c>
      <c r="O28" s="197">
        <v>3</v>
      </c>
      <c r="P28" s="198">
        <f t="shared" si="2"/>
        <v>45</v>
      </c>
      <c r="Q28" s="199">
        <f t="shared" si="33"/>
        <v>4290.6574394463669</v>
      </c>
      <c r="R28" s="200">
        <f t="shared" si="34"/>
        <v>1084.1565205803402</v>
      </c>
      <c r="S28" s="201">
        <f t="shared" si="35"/>
        <v>2</v>
      </c>
      <c r="T28" s="202">
        <f t="shared" si="36"/>
        <v>628.37370242214536</v>
      </c>
      <c r="U28" s="203">
        <f t="shared" si="37"/>
        <v>78.402531741336901</v>
      </c>
      <c r="V28" s="204">
        <f t="shared" si="38"/>
        <v>3</v>
      </c>
      <c r="W28" s="198">
        <f t="shared" si="3"/>
        <v>45</v>
      </c>
      <c r="X28" s="199">
        <f t="shared" si="39"/>
        <v>5047.8322817016078</v>
      </c>
      <c r="Y28" s="200">
        <f t="shared" si="40"/>
        <v>1152.132327928098</v>
      </c>
      <c r="Z28" s="201">
        <f t="shared" si="41"/>
        <v>2</v>
      </c>
      <c r="AA28" s="202">
        <f t="shared" si="42"/>
        <v>739.26317932017105</v>
      </c>
      <c r="AB28" s="203">
        <f t="shared" si="43"/>
        <v>81.848347156631078</v>
      </c>
    </row>
    <row r="29" spans="2:28" ht="12.75" customHeight="1" x14ac:dyDescent="0.3">
      <c r="B29" s="205" t="s">
        <v>173</v>
      </c>
      <c r="C29" s="206"/>
      <c r="D29" s="207"/>
      <c r="E29" s="207"/>
      <c r="F29" s="208"/>
      <c r="G29" s="209"/>
      <c r="H29" s="210">
        <f t="shared" ref="H29:R29" si="44">SUM(H13:H28)</f>
        <v>27</v>
      </c>
      <c r="I29" s="211">
        <f t="shared" si="44"/>
        <v>250</v>
      </c>
      <c r="J29" s="212">
        <f t="shared" si="44"/>
        <v>49267.05882352942</v>
      </c>
      <c r="K29" s="213">
        <f t="shared" si="44"/>
        <v>13772.582359192353</v>
      </c>
      <c r="L29" s="214">
        <f t="shared" si="44"/>
        <v>24</v>
      </c>
      <c r="M29" s="215">
        <f t="shared" si="44"/>
        <v>7242.3529411764703</v>
      </c>
      <c r="N29" s="216">
        <f t="shared" si="44"/>
        <v>1013.8740995928594</v>
      </c>
      <c r="O29" s="217">
        <f t="shared" si="44"/>
        <v>28</v>
      </c>
      <c r="P29" s="211">
        <f t="shared" si="44"/>
        <v>430</v>
      </c>
      <c r="Q29" s="212">
        <f t="shared" si="44"/>
        <v>57961.245674740494</v>
      </c>
      <c r="R29" s="213">
        <f t="shared" si="44"/>
        <v>14636.113027834594</v>
      </c>
      <c r="S29" s="201">
        <f>L29</f>
        <v>24</v>
      </c>
      <c r="T29" s="215">
        <f t="shared" ref="T29:AB29" si="45">SUM(T13:T28)</f>
        <v>8520.4152249134931</v>
      </c>
      <c r="U29" s="216">
        <f t="shared" si="45"/>
        <v>1058.434178508048</v>
      </c>
      <c r="V29" s="218">
        <f t="shared" si="45"/>
        <v>28</v>
      </c>
      <c r="W29" s="211">
        <f t="shared" si="45"/>
        <v>430</v>
      </c>
      <c r="X29" s="212">
        <f t="shared" si="45"/>
        <v>68189.700793812328</v>
      </c>
      <c r="Y29" s="213">
        <f t="shared" si="45"/>
        <v>15553.786427029325</v>
      </c>
      <c r="Z29" s="214">
        <f t="shared" si="45"/>
        <v>24</v>
      </c>
      <c r="AA29" s="215">
        <f t="shared" si="45"/>
        <v>10024.017911662935</v>
      </c>
      <c r="AB29" s="216">
        <f t="shared" si="45"/>
        <v>1104.9526866145195</v>
      </c>
    </row>
    <row r="30" spans="2:28" ht="12.75" customHeight="1" x14ac:dyDescent="0.3">
      <c r="B30" s="219"/>
      <c r="C30" s="206"/>
      <c r="D30" s="207"/>
      <c r="E30" s="207"/>
      <c r="F30" s="208"/>
      <c r="G30" s="209"/>
      <c r="H30" s="220"/>
      <c r="I30" s="221"/>
      <c r="J30" s="222"/>
      <c r="K30" s="221"/>
      <c r="L30" s="221"/>
      <c r="M30" s="221"/>
      <c r="N30" s="223"/>
      <c r="O30" s="220"/>
      <c r="P30" s="221"/>
      <c r="Q30" s="223"/>
      <c r="R30" s="221"/>
      <c r="S30" s="221"/>
      <c r="T30" s="221"/>
      <c r="U30" s="223"/>
      <c r="V30" s="221"/>
      <c r="W30" s="221"/>
      <c r="X30" s="223"/>
      <c r="Y30" s="221"/>
      <c r="Z30" s="221"/>
      <c r="AA30" s="221"/>
      <c r="AB30" s="223"/>
    </row>
    <row r="31" spans="2:28" ht="12.75" customHeight="1" x14ac:dyDescent="0.25">
      <c r="B31" s="18"/>
      <c r="C31" s="152"/>
      <c r="D31" s="8"/>
      <c r="E31" s="8"/>
      <c r="F31" s="208"/>
      <c r="G31" s="209"/>
      <c r="H31" s="8"/>
      <c r="I31" s="152"/>
      <c r="J31" s="224"/>
      <c r="K31" s="152"/>
      <c r="L31" s="152"/>
      <c r="M31" s="152"/>
      <c r="N31" s="225"/>
      <c r="O31" s="8"/>
      <c r="P31" s="152"/>
      <c r="Q31" s="225"/>
      <c r="R31" s="152"/>
      <c r="S31" s="152"/>
      <c r="T31" s="152"/>
      <c r="U31" s="225"/>
      <c r="V31" s="152"/>
      <c r="W31" s="152"/>
      <c r="X31" s="225"/>
      <c r="Y31" s="152"/>
      <c r="Z31" s="152"/>
      <c r="AA31" s="152"/>
      <c r="AB31" s="225"/>
    </row>
    <row r="32" spans="2:28" ht="12.75" customHeight="1" x14ac:dyDescent="0.25">
      <c r="B32" s="913" t="s">
        <v>116</v>
      </c>
      <c r="C32" s="226">
        <v>20</v>
      </c>
      <c r="D32" s="802">
        <v>1550</v>
      </c>
      <c r="E32" s="803">
        <f t="shared" ref="E32" si="46">(40*12)</f>
        <v>480</v>
      </c>
      <c r="F32" s="804">
        <f t="shared" ref="F32" si="47">$F$13</f>
        <v>227</v>
      </c>
      <c r="G32" s="801">
        <f t="shared" ref="G32" si="48">$G$13</f>
        <v>35.97</v>
      </c>
      <c r="H32" s="227">
        <f>'Memória-custo MO'!D29</f>
        <v>1</v>
      </c>
      <c r="I32" s="198">
        <f>$C32*H32</f>
        <v>20</v>
      </c>
      <c r="J32" s="199">
        <f>J13</f>
        <v>1823.5294117647059</v>
      </c>
      <c r="K32" s="200">
        <f>K13</f>
        <v>510.09564293304999</v>
      </c>
      <c r="L32" s="201">
        <f>H32</f>
        <v>1</v>
      </c>
      <c r="M32" s="202">
        <f>M13</f>
        <v>267.05882352941177</v>
      </c>
      <c r="N32" s="203">
        <f>$G32*H32</f>
        <v>35.97</v>
      </c>
      <c r="O32" s="227">
        <v>2</v>
      </c>
      <c r="P32" s="198">
        <f>$C32*O32</f>
        <v>40</v>
      </c>
      <c r="Q32" s="199">
        <f>Q13</f>
        <v>2145.3287197231834</v>
      </c>
      <c r="R32" s="200">
        <f>R13</f>
        <v>542.07826029017008</v>
      </c>
      <c r="S32" s="201">
        <f>O32</f>
        <v>2</v>
      </c>
      <c r="T32" s="202">
        <f>T13</f>
        <v>314.18685121107268</v>
      </c>
      <c r="U32" s="203">
        <f>U13</f>
        <v>39.20126587066845</v>
      </c>
      <c r="V32" s="204">
        <v>3</v>
      </c>
      <c r="W32" s="198">
        <f>$C32*V32</f>
        <v>60</v>
      </c>
      <c r="X32" s="199">
        <f>X13</f>
        <v>2523.9161408508039</v>
      </c>
      <c r="Y32" s="200">
        <f>Y13</f>
        <v>576.066163964049</v>
      </c>
      <c r="Z32" s="201">
        <f>V32</f>
        <v>3</v>
      </c>
      <c r="AA32" s="202">
        <f>AA13</f>
        <v>369.63158966008552</v>
      </c>
      <c r="AB32" s="203">
        <f>AB13</f>
        <v>40.924173578315539</v>
      </c>
    </row>
    <row r="33" spans="2:28" ht="12.75" customHeight="1" x14ac:dyDescent="0.3">
      <c r="B33" s="205" t="s">
        <v>176</v>
      </c>
      <c r="C33" s="228"/>
      <c r="D33" s="207"/>
      <c r="E33" s="207"/>
      <c r="F33" s="208"/>
      <c r="G33" s="209"/>
      <c r="H33" s="210">
        <f t="shared" ref="H33:AB33" si="49">SUM(H32:H32)</f>
        <v>1</v>
      </c>
      <c r="I33" s="211">
        <f t="shared" si="49"/>
        <v>20</v>
      </c>
      <c r="J33" s="212">
        <f t="shared" si="49"/>
        <v>1823.5294117647059</v>
      </c>
      <c r="K33" s="213">
        <f t="shared" si="49"/>
        <v>510.09564293304999</v>
      </c>
      <c r="L33" s="214">
        <f t="shared" si="49"/>
        <v>1</v>
      </c>
      <c r="M33" s="215">
        <f t="shared" si="49"/>
        <v>267.05882352941177</v>
      </c>
      <c r="N33" s="216">
        <f t="shared" si="49"/>
        <v>35.97</v>
      </c>
      <c r="O33" s="217">
        <f t="shared" si="49"/>
        <v>2</v>
      </c>
      <c r="P33" s="211">
        <f t="shared" si="49"/>
        <v>40</v>
      </c>
      <c r="Q33" s="212">
        <f t="shared" si="49"/>
        <v>2145.3287197231834</v>
      </c>
      <c r="R33" s="213">
        <f t="shared" si="49"/>
        <v>542.07826029017008</v>
      </c>
      <c r="S33" s="214">
        <f t="shared" si="49"/>
        <v>2</v>
      </c>
      <c r="T33" s="215">
        <f t="shared" si="49"/>
        <v>314.18685121107268</v>
      </c>
      <c r="U33" s="216">
        <f t="shared" si="49"/>
        <v>39.20126587066845</v>
      </c>
      <c r="V33" s="218">
        <f t="shared" si="49"/>
        <v>3</v>
      </c>
      <c r="W33" s="211">
        <f t="shared" si="49"/>
        <v>60</v>
      </c>
      <c r="X33" s="212">
        <f t="shared" si="49"/>
        <v>2523.9161408508039</v>
      </c>
      <c r="Y33" s="213">
        <f t="shared" si="49"/>
        <v>576.066163964049</v>
      </c>
      <c r="Z33" s="214">
        <f t="shared" si="49"/>
        <v>3</v>
      </c>
      <c r="AA33" s="215">
        <f t="shared" si="49"/>
        <v>369.63158966008552</v>
      </c>
      <c r="AB33" s="216">
        <f t="shared" si="49"/>
        <v>40.924173578315539</v>
      </c>
    </row>
    <row r="34" spans="2:28" ht="12.75" customHeight="1" x14ac:dyDescent="0.3">
      <c r="B34" s="219"/>
      <c r="C34" s="228"/>
      <c r="D34" s="207"/>
      <c r="E34" s="207"/>
      <c r="F34" s="208"/>
      <c r="G34" s="209"/>
      <c r="H34" s="220"/>
      <c r="I34" s="221"/>
      <c r="J34" s="223"/>
      <c r="K34" s="221"/>
      <c r="L34" s="221"/>
      <c r="M34" s="221"/>
      <c r="N34" s="223"/>
      <c r="O34" s="221"/>
      <c r="P34" s="221"/>
      <c r="Q34" s="223"/>
      <c r="R34" s="221"/>
      <c r="S34" s="221"/>
      <c r="T34" s="221"/>
      <c r="U34" s="223"/>
      <c r="V34" s="221"/>
      <c r="W34" s="221"/>
      <c r="X34" s="223"/>
      <c r="Y34" s="221"/>
      <c r="Z34" s="221"/>
      <c r="AA34" s="221"/>
      <c r="AB34" s="223"/>
    </row>
    <row r="35" spans="2:28" ht="12.75" customHeight="1" x14ac:dyDescent="0.25">
      <c r="B35" s="914" t="str">
        <f>'Memoria-equipamentoXfuncionario'!C68</f>
        <v>Mecânico</v>
      </c>
      <c r="C35" s="226">
        <v>15</v>
      </c>
      <c r="D35" s="194">
        <f>D26</f>
        <v>1550</v>
      </c>
      <c r="E35" s="195">
        <f>E28</f>
        <v>480</v>
      </c>
      <c r="F35" s="196">
        <f>$F$13</f>
        <v>227</v>
      </c>
      <c r="G35" s="188">
        <f>$G$13</f>
        <v>35.97</v>
      </c>
      <c r="H35" s="227">
        <f>'Memoria-equipamentoXfuncionario'!F68</f>
        <v>1</v>
      </c>
      <c r="I35" s="198">
        <f>$C35*H35</f>
        <v>15</v>
      </c>
      <c r="J35" s="199">
        <f>J13</f>
        <v>1823.5294117647059</v>
      </c>
      <c r="K35" s="200">
        <f>$E35*H35</f>
        <v>480</v>
      </c>
      <c r="L35" s="201">
        <v>0</v>
      </c>
      <c r="M35" s="202">
        <f>M13</f>
        <v>267.05882352941177</v>
      </c>
      <c r="N35" s="203">
        <f>N13</f>
        <v>37.550892577513309</v>
      </c>
      <c r="O35" s="227">
        <v>2</v>
      </c>
      <c r="P35" s="198">
        <f>$C35*O35</f>
        <v>30</v>
      </c>
      <c r="Q35" s="199">
        <f>Q13</f>
        <v>2145.3287197231834</v>
      </c>
      <c r="R35" s="200">
        <f>R13</f>
        <v>542.07826029017008</v>
      </c>
      <c r="S35" s="201">
        <f>L35</f>
        <v>0</v>
      </c>
      <c r="T35" s="202">
        <f>$F35*O35</f>
        <v>454</v>
      </c>
      <c r="U35" s="203">
        <f>$G35*O35</f>
        <v>71.94</v>
      </c>
      <c r="V35" s="204">
        <v>2</v>
      </c>
      <c r="W35" s="198">
        <f>$C35*V35</f>
        <v>30</v>
      </c>
      <c r="X35" s="199">
        <f>X13</f>
        <v>2523.9161408508039</v>
      </c>
      <c r="Y35" s="200">
        <f>Y13</f>
        <v>576.066163964049</v>
      </c>
      <c r="Z35" s="201">
        <f>L32</f>
        <v>1</v>
      </c>
      <c r="AA35" s="202">
        <f>AA13</f>
        <v>369.63158966008552</v>
      </c>
      <c r="AB35" s="203">
        <f>AB13</f>
        <v>40.924173578315539</v>
      </c>
    </row>
    <row r="36" spans="2:28" ht="12.75" customHeight="1" x14ac:dyDescent="0.25">
      <c r="B36" s="914" t="str">
        <f>'Memória-custo MO'!A34</f>
        <v>Artífice</v>
      </c>
      <c r="C36" s="229">
        <v>15</v>
      </c>
      <c r="D36" s="194">
        <f>D27</f>
        <v>1550</v>
      </c>
      <c r="E36" s="195">
        <v>480</v>
      </c>
      <c r="F36" s="196">
        <f>$F$13</f>
        <v>227</v>
      </c>
      <c r="G36" s="188">
        <f>$G$13</f>
        <v>35.97</v>
      </c>
      <c r="H36" s="227">
        <f>'Memoria-equipamentoXfuncionario'!F69</f>
        <v>1</v>
      </c>
      <c r="I36" s="198">
        <f>$C36*H36</f>
        <v>15</v>
      </c>
      <c r="J36" s="199">
        <f>J20</f>
        <v>1823.5294117647059</v>
      </c>
      <c r="K36" s="200">
        <f>$E36*H36</f>
        <v>480</v>
      </c>
      <c r="L36" s="201">
        <v>0</v>
      </c>
      <c r="M36" s="202">
        <f t="shared" ref="M36:M37" si="50">M20</f>
        <v>267.05882352941177</v>
      </c>
      <c r="N36" s="203">
        <f>N20</f>
        <v>37.550892577513309</v>
      </c>
      <c r="O36" s="227">
        <f>'Memória-custo MO'!AH34</f>
        <v>2</v>
      </c>
      <c r="P36" s="198">
        <f>$C36*O36</f>
        <v>30</v>
      </c>
      <c r="Q36" s="199">
        <f>Q20</f>
        <v>2145.3287197231834</v>
      </c>
      <c r="R36" s="200">
        <f>R20</f>
        <v>542.07826029017008</v>
      </c>
      <c r="S36" s="201">
        <f t="shared" ref="S36:S37" si="51">L36</f>
        <v>0</v>
      </c>
      <c r="T36" s="202">
        <f>$F36*O36</f>
        <v>454</v>
      </c>
      <c r="U36" s="203">
        <f>$G36*O36</f>
        <v>71.94</v>
      </c>
      <c r="V36" s="204">
        <f>'Memória-custo MO'!AW34</f>
        <v>2</v>
      </c>
      <c r="W36" s="198">
        <f>$C36*V36</f>
        <v>30</v>
      </c>
      <c r="X36" s="199">
        <f>X20</f>
        <v>2523.9161408508039</v>
      </c>
      <c r="Y36" s="200">
        <f>Y20</f>
        <v>576.066163964049</v>
      </c>
      <c r="Z36" s="201">
        <f t="shared" ref="Z36:Z37" si="52">L33</f>
        <v>1</v>
      </c>
      <c r="AA36" s="202">
        <f>AA20</f>
        <v>369.63158966008552</v>
      </c>
      <c r="AB36" s="203">
        <f>AB20</f>
        <v>40.924173578315539</v>
      </c>
    </row>
    <row r="37" spans="2:28" ht="12.75" customHeight="1" x14ac:dyDescent="0.3">
      <c r="B37" s="205" t="s">
        <v>178</v>
      </c>
      <c r="C37" s="228"/>
      <c r="D37" s="207"/>
      <c r="E37" s="207"/>
      <c r="F37" s="208"/>
      <c r="G37" s="209"/>
      <c r="H37" s="210">
        <f>SUM(H35:H36)</f>
        <v>2</v>
      </c>
      <c r="I37" s="211">
        <f>SUM(I35:I36)</f>
        <v>30</v>
      </c>
      <c r="J37" s="212">
        <f>SUM(J35:J36)</f>
        <v>3647.0588235294117</v>
      </c>
      <c r="K37" s="213">
        <f>SUM(K35:K36)</f>
        <v>960</v>
      </c>
      <c r="L37" s="214">
        <f t="shared" ref="L37" si="53">SUM(L35:L36)</f>
        <v>0</v>
      </c>
      <c r="M37" s="202">
        <f t="shared" si="50"/>
        <v>1068.2352941176471</v>
      </c>
      <c r="N37" s="216">
        <f>SUM(N35:N36)</f>
        <v>75.101785155026619</v>
      </c>
      <c r="O37" s="217">
        <f>SUM(O35:O36)</f>
        <v>4</v>
      </c>
      <c r="P37" s="211">
        <f>SUM(P35:P36)</f>
        <v>60</v>
      </c>
      <c r="Q37" s="212">
        <f>SUM(Q35:Q36)</f>
        <v>4290.6574394463669</v>
      </c>
      <c r="R37" s="213">
        <f>SUM(R35:R36)</f>
        <v>1084.1565205803402</v>
      </c>
      <c r="S37" s="201">
        <f t="shared" si="51"/>
        <v>0</v>
      </c>
      <c r="T37" s="215">
        <f t="shared" ref="T37:Y37" si="54">SUM(T35:T36)</f>
        <v>908</v>
      </c>
      <c r="U37" s="216">
        <f t="shared" si="54"/>
        <v>143.88</v>
      </c>
      <c r="V37" s="218">
        <f t="shared" si="54"/>
        <v>4</v>
      </c>
      <c r="W37" s="211">
        <f t="shared" si="54"/>
        <v>60</v>
      </c>
      <c r="X37" s="212">
        <f t="shared" si="54"/>
        <v>5047.8322817016078</v>
      </c>
      <c r="Y37" s="213">
        <f t="shared" si="54"/>
        <v>1152.132327928098</v>
      </c>
      <c r="Z37" s="201">
        <f t="shared" si="52"/>
        <v>0</v>
      </c>
      <c r="AA37" s="215">
        <f>SUM(AA35:AA36)</f>
        <v>739.26317932017105</v>
      </c>
      <c r="AB37" s="216">
        <f>SUM(AB35:AB36)</f>
        <v>81.848347156631078</v>
      </c>
    </row>
    <row r="38" spans="2:28" ht="12.75" customHeight="1" x14ac:dyDescent="0.25">
      <c r="B38" s="18"/>
      <c r="C38" s="230"/>
      <c r="D38" s="8"/>
      <c r="E38" s="8"/>
      <c r="F38" s="208"/>
      <c r="G38" s="209"/>
      <c r="H38" s="8"/>
      <c r="I38" s="152"/>
      <c r="J38" s="225"/>
      <c r="K38" s="152"/>
      <c r="L38" s="152"/>
      <c r="M38" s="152"/>
      <c r="N38" s="225"/>
      <c r="O38" s="152"/>
      <c r="P38" s="152"/>
      <c r="Q38" s="225"/>
      <c r="R38" s="152"/>
      <c r="S38" s="152"/>
      <c r="T38" s="152"/>
      <c r="U38" s="225"/>
      <c r="V38" s="152"/>
      <c r="W38" s="152"/>
      <c r="X38" s="225"/>
      <c r="Y38" s="152"/>
      <c r="Z38" s="152"/>
      <c r="AA38" s="152"/>
      <c r="AB38" s="225"/>
    </row>
    <row r="39" spans="2:28" ht="12.75" customHeight="1" x14ac:dyDescent="0.25">
      <c r="B39" s="914" t="str">
        <f>'Memoria-equipamentoXfuncionario'!C74</f>
        <v>Fiel Depositário</v>
      </c>
      <c r="C39" s="231">
        <v>20</v>
      </c>
      <c r="D39" s="194">
        <f>D27</f>
        <v>1550</v>
      </c>
      <c r="E39" s="195">
        <f>E35</f>
        <v>480</v>
      </c>
      <c r="F39" s="196">
        <f>$F$13</f>
        <v>227</v>
      </c>
      <c r="G39" s="188">
        <f t="shared" ref="G39:G46" si="55">$G$13</f>
        <v>35.97</v>
      </c>
      <c r="H39" s="227">
        <f>'Memoria-equipamentoXfuncionario'!F74</f>
        <v>1</v>
      </c>
      <c r="I39" s="198">
        <f t="shared" ref="I39:I46" si="56">$C39*H39</f>
        <v>20</v>
      </c>
      <c r="J39" s="199">
        <f>J13</f>
        <v>1823.5294117647059</v>
      </c>
      <c r="K39" s="200">
        <f>K13</f>
        <v>510.09564293304999</v>
      </c>
      <c r="L39" s="201">
        <f>H39</f>
        <v>1</v>
      </c>
      <c r="M39" s="202">
        <f>(M13)/0.85</f>
        <v>314.18685121107268</v>
      </c>
      <c r="N39" s="203">
        <f>N13</f>
        <v>37.550892577513309</v>
      </c>
      <c r="O39" s="227">
        <f>H39</f>
        <v>1</v>
      </c>
      <c r="P39" s="198">
        <f t="shared" ref="P39:P46" si="57">$C39*O39</f>
        <v>20</v>
      </c>
      <c r="Q39" s="199">
        <f>Q13</f>
        <v>2145.3287197231834</v>
      </c>
      <c r="R39" s="200">
        <f>R13</f>
        <v>542.07826029017008</v>
      </c>
      <c r="S39" s="201">
        <f>L39</f>
        <v>1</v>
      </c>
      <c r="T39" s="202">
        <f>T13</f>
        <v>314.18685121107268</v>
      </c>
      <c r="U39" s="203">
        <f>U13</f>
        <v>39.20126587066845</v>
      </c>
      <c r="V39" s="204">
        <f>O39</f>
        <v>1</v>
      </c>
      <c r="W39" s="198">
        <f t="shared" ref="W39:W46" si="58">$C39*V39</f>
        <v>20</v>
      </c>
      <c r="X39" s="199">
        <f>X13</f>
        <v>2523.9161408508039</v>
      </c>
      <c r="Y39" s="200">
        <f>Y13</f>
        <v>576.066163964049</v>
      </c>
      <c r="Z39" s="201">
        <f>L39</f>
        <v>1</v>
      </c>
      <c r="AA39" s="202">
        <f>AA13</f>
        <v>369.63158966008552</v>
      </c>
      <c r="AB39" s="203">
        <f>AB13</f>
        <v>40.924173578315539</v>
      </c>
    </row>
    <row r="40" spans="2:28" ht="12.75" customHeight="1" x14ac:dyDescent="0.25">
      <c r="B40" s="914" t="str">
        <f>'Memoria-equipamentoXfuncionario'!C75</f>
        <v>Lider Operacional</v>
      </c>
      <c r="C40" s="231">
        <v>15</v>
      </c>
      <c r="D40" s="194">
        <f t="shared" ref="D40" si="59">D28</f>
        <v>1550</v>
      </c>
      <c r="E40" s="195">
        <f>E39</f>
        <v>480</v>
      </c>
      <c r="F40" s="196">
        <f t="shared" ref="F40:F46" si="60">$F$13</f>
        <v>227</v>
      </c>
      <c r="G40" s="188">
        <f t="shared" si="55"/>
        <v>35.97</v>
      </c>
      <c r="H40" s="227">
        <f>'Memoria-equipamentoXfuncionario'!F75</f>
        <v>1</v>
      </c>
      <c r="I40" s="198">
        <f t="shared" si="56"/>
        <v>15</v>
      </c>
      <c r="J40" s="199">
        <f t="shared" ref="J40:K40" si="61">J20</f>
        <v>1823.5294117647059</v>
      </c>
      <c r="K40" s="200">
        <f t="shared" si="61"/>
        <v>510.09564293304999</v>
      </c>
      <c r="L40" s="201">
        <f>H40</f>
        <v>1</v>
      </c>
      <c r="M40" s="202">
        <f>M20/0.85</f>
        <v>314.18685121107268</v>
      </c>
      <c r="N40" s="203">
        <f>N20</f>
        <v>37.550892577513309</v>
      </c>
      <c r="O40" s="227">
        <f t="shared" ref="O40:O47" si="62">H40</f>
        <v>1</v>
      </c>
      <c r="P40" s="198">
        <f t="shared" si="57"/>
        <v>15</v>
      </c>
      <c r="Q40" s="199">
        <f t="shared" ref="Q40:R40" si="63">Q20</f>
        <v>2145.3287197231834</v>
      </c>
      <c r="R40" s="200">
        <f t="shared" si="63"/>
        <v>542.07826029017008</v>
      </c>
      <c r="S40" s="201">
        <f t="shared" ref="S40:S46" si="64">L40</f>
        <v>1</v>
      </c>
      <c r="T40" s="202">
        <f t="shared" ref="T40:U40" si="65">T20</f>
        <v>314.18685121107268</v>
      </c>
      <c r="U40" s="203">
        <f t="shared" si="65"/>
        <v>39.20126587066845</v>
      </c>
      <c r="V40" s="204">
        <f t="shared" ref="V40:V46" si="66">O40</f>
        <v>1</v>
      </c>
      <c r="W40" s="198">
        <f t="shared" si="58"/>
        <v>15</v>
      </c>
      <c r="X40" s="199">
        <f t="shared" ref="X40:Y40" si="67">X20</f>
        <v>2523.9161408508039</v>
      </c>
      <c r="Y40" s="200">
        <f t="shared" si="67"/>
        <v>576.066163964049</v>
      </c>
      <c r="Z40" s="201">
        <f t="shared" ref="Z40:Z46" si="68">L40</f>
        <v>1</v>
      </c>
      <c r="AA40" s="202">
        <f t="shared" ref="AA40:AB40" si="69">AA20</f>
        <v>369.63158966008552</v>
      </c>
      <c r="AB40" s="203">
        <f t="shared" si="69"/>
        <v>40.924173578315539</v>
      </c>
    </row>
    <row r="41" spans="2:28" ht="12.75" customHeight="1" x14ac:dyDescent="0.25">
      <c r="B41" s="914" t="str">
        <f>'Memoria-equipamentoXfuncionario'!C76</f>
        <v>Operador de Equipamentos Pesados</v>
      </c>
      <c r="C41" s="231">
        <v>15</v>
      </c>
      <c r="D41" s="194">
        <v>1550</v>
      </c>
      <c r="E41" s="195">
        <f>E40</f>
        <v>480</v>
      </c>
      <c r="F41" s="196">
        <f t="shared" si="60"/>
        <v>227</v>
      </c>
      <c r="G41" s="188">
        <f t="shared" si="55"/>
        <v>35.97</v>
      </c>
      <c r="H41" s="227">
        <v>5</v>
      </c>
      <c r="I41" s="198">
        <f t="shared" si="56"/>
        <v>75</v>
      </c>
      <c r="J41" s="199">
        <f>(D$41*H41)/0.85</f>
        <v>9117.6470588235297</v>
      </c>
      <c r="K41" s="200">
        <f>(E$41*H41)/0.941</f>
        <v>2550.4782146652497</v>
      </c>
      <c r="L41" s="201">
        <v>0</v>
      </c>
      <c r="M41" s="202">
        <f>(F$41*H41)/0.85</f>
        <v>1335.2941176470588</v>
      </c>
      <c r="N41" s="203">
        <f>$G41*H41/0.9579</f>
        <v>187.75446288756655</v>
      </c>
      <c r="O41" s="227">
        <f t="shared" si="62"/>
        <v>5</v>
      </c>
      <c r="P41" s="198">
        <f t="shared" si="57"/>
        <v>75</v>
      </c>
      <c r="Q41" s="199">
        <f>J41/0.85</f>
        <v>10726.643598615918</v>
      </c>
      <c r="R41" s="200">
        <f>K41/0.941</f>
        <v>2710.3913014508498</v>
      </c>
      <c r="S41" s="201">
        <v>0</v>
      </c>
      <c r="T41" s="202">
        <f>M41/0.85</f>
        <v>1570.9342560553632</v>
      </c>
      <c r="U41" s="203">
        <f>N41/0.9579</f>
        <v>196.00632935334227</v>
      </c>
      <c r="V41" s="204">
        <f t="shared" si="66"/>
        <v>5</v>
      </c>
      <c r="W41" s="198">
        <f t="shared" si="58"/>
        <v>75</v>
      </c>
      <c r="X41" s="199">
        <f>Q41/0.85</f>
        <v>12619.580704254022</v>
      </c>
      <c r="Y41" s="200">
        <f>R41/0.941</f>
        <v>2880.3308198202444</v>
      </c>
      <c r="Z41" s="201">
        <v>0</v>
      </c>
      <c r="AA41" s="202">
        <f>T41/0.85</f>
        <v>1848.1579483004273</v>
      </c>
      <c r="AB41" s="203">
        <f>T41/0.9579</f>
        <v>1639.9773004023</v>
      </c>
    </row>
    <row r="42" spans="2:28" ht="12.75" customHeight="1" x14ac:dyDescent="0.25">
      <c r="B42" s="914" t="str">
        <f>'Memoria-equipamentoXfuncionario'!C77</f>
        <v>Conferente</v>
      </c>
      <c r="C42" s="232">
        <v>15</v>
      </c>
      <c r="D42" s="194">
        <v>1550</v>
      </c>
      <c r="E42" s="195">
        <f t="shared" ref="E42:E44" si="70">E39</f>
        <v>480</v>
      </c>
      <c r="F42" s="196">
        <f t="shared" si="60"/>
        <v>227</v>
      </c>
      <c r="G42" s="188">
        <f t="shared" si="55"/>
        <v>35.97</v>
      </c>
      <c r="H42" s="227">
        <f>'Memoria-equipamentoXfuncionario'!F77</f>
        <v>5</v>
      </c>
      <c r="I42" s="198">
        <f t="shared" si="56"/>
        <v>75</v>
      </c>
      <c r="J42" s="199">
        <f>(D$41*H42)/0.85</f>
        <v>9117.6470588235297</v>
      </c>
      <c r="K42" s="200">
        <f>(E$41*H42)/0.941</f>
        <v>2550.4782146652497</v>
      </c>
      <c r="L42" s="201">
        <v>2</v>
      </c>
      <c r="M42" s="202">
        <f>(F$41*H42)/0.85</f>
        <v>1335.2941176470588</v>
      </c>
      <c r="N42" s="203">
        <f>$G42*H42/0.9579</f>
        <v>187.75446288756655</v>
      </c>
      <c r="O42" s="227">
        <v>6</v>
      </c>
      <c r="P42" s="198">
        <f t="shared" si="57"/>
        <v>90</v>
      </c>
      <c r="Q42" s="199">
        <f>J42/0.85</f>
        <v>10726.643598615918</v>
      </c>
      <c r="R42" s="200">
        <f>K42/0.941</f>
        <v>2710.3913014508498</v>
      </c>
      <c r="S42" s="201">
        <f t="shared" si="64"/>
        <v>2</v>
      </c>
      <c r="T42" s="202">
        <f>M42/0.85</f>
        <v>1570.9342560553632</v>
      </c>
      <c r="U42" s="203">
        <f>N42/0.9579</f>
        <v>196.00632935334227</v>
      </c>
      <c r="V42" s="204">
        <f t="shared" si="66"/>
        <v>6</v>
      </c>
      <c r="W42" s="198">
        <f t="shared" si="58"/>
        <v>90</v>
      </c>
      <c r="X42" s="199">
        <f>Q42/0.85</f>
        <v>12619.580704254022</v>
      </c>
      <c r="Y42" s="200">
        <f>R42/0.941</f>
        <v>2880.3308198202444</v>
      </c>
      <c r="Z42" s="201">
        <f t="shared" si="68"/>
        <v>2</v>
      </c>
      <c r="AA42" s="202">
        <f>T42/0.85</f>
        <v>1848.1579483004273</v>
      </c>
      <c r="AB42" s="203">
        <f>T42/0.9579</f>
        <v>1639.9773004023</v>
      </c>
    </row>
    <row r="43" spans="2:28" ht="12.75" customHeight="1" x14ac:dyDescent="0.25">
      <c r="B43" s="790" t="s">
        <v>107</v>
      </c>
      <c r="C43" s="232">
        <v>15</v>
      </c>
      <c r="D43" s="194">
        <v>1550</v>
      </c>
      <c r="E43" s="195">
        <f t="shared" si="70"/>
        <v>480</v>
      </c>
      <c r="F43" s="196">
        <f t="shared" si="60"/>
        <v>227</v>
      </c>
      <c r="G43" s="188">
        <f t="shared" si="55"/>
        <v>35.97</v>
      </c>
      <c r="H43" s="227">
        <v>2</v>
      </c>
      <c r="I43" s="198">
        <f t="shared" ref="I43:I44" si="71">$C43*H43</f>
        <v>30</v>
      </c>
      <c r="J43" s="199">
        <f>(D$41*H43)/0.85</f>
        <v>3647.0588235294117</v>
      </c>
      <c r="K43" s="200">
        <f>(E$41*H43)/0.941</f>
        <v>1020.1912858661</v>
      </c>
      <c r="L43" s="201">
        <v>0</v>
      </c>
      <c r="M43" s="202">
        <f t="shared" ref="M43:M44" si="72">(F$41*H43)/0.85</f>
        <v>534.11764705882354</v>
      </c>
      <c r="N43" s="203">
        <f t="shared" ref="N43:N44" si="73">$G43*H43/0.9579</f>
        <v>75.101785155026619</v>
      </c>
      <c r="O43" s="227">
        <f t="shared" si="62"/>
        <v>2</v>
      </c>
      <c r="P43" s="198">
        <f t="shared" ref="P43:P44" si="74">$C43*O43</f>
        <v>30</v>
      </c>
      <c r="Q43" s="199">
        <f t="shared" ref="Q43:Q44" si="75">J43/0.85</f>
        <v>4290.6574394463669</v>
      </c>
      <c r="R43" s="200">
        <f t="shared" ref="R43:R44" si="76">K43/0.941</f>
        <v>1084.1565205803402</v>
      </c>
      <c r="S43" s="201">
        <f t="shared" ref="S43:S44" si="77">L43</f>
        <v>0</v>
      </c>
      <c r="T43" s="202">
        <f t="shared" ref="T43:T44" si="78">M43/0.85</f>
        <v>628.37370242214536</v>
      </c>
      <c r="U43" s="203">
        <f t="shared" ref="U43:U44" si="79">N43/0.9579</f>
        <v>78.402531741336901</v>
      </c>
      <c r="V43" s="204">
        <f t="shared" si="66"/>
        <v>2</v>
      </c>
      <c r="W43" s="198">
        <f t="shared" ref="W43:W44" si="80">$C43*V43</f>
        <v>30</v>
      </c>
      <c r="X43" s="199">
        <f t="shared" ref="X43:X44" si="81">Q43/0.85</f>
        <v>5047.8322817016078</v>
      </c>
      <c r="Y43" s="200">
        <f t="shared" ref="Y43:Y44" si="82">R43/0.941</f>
        <v>1152.132327928098</v>
      </c>
      <c r="Z43" s="201">
        <f t="shared" ref="Z43:Z44" si="83">L43</f>
        <v>0</v>
      </c>
      <c r="AA43" s="202">
        <f t="shared" ref="AA43:AA44" si="84">T43/0.85</f>
        <v>739.26317932017105</v>
      </c>
      <c r="AB43" s="203">
        <f t="shared" ref="AB43:AB44" si="85">T43/0.9579</f>
        <v>655.99092016092015</v>
      </c>
    </row>
    <row r="44" spans="2:28" ht="12.75" customHeight="1" x14ac:dyDescent="0.25">
      <c r="B44" s="790" t="s">
        <v>128</v>
      </c>
      <c r="C44" s="232">
        <v>15</v>
      </c>
      <c r="D44" s="194">
        <v>1550</v>
      </c>
      <c r="E44" s="195">
        <f t="shared" si="70"/>
        <v>480</v>
      </c>
      <c r="F44" s="196">
        <f t="shared" si="60"/>
        <v>227</v>
      </c>
      <c r="G44" s="188">
        <f t="shared" si="55"/>
        <v>35.97</v>
      </c>
      <c r="H44" s="227">
        <v>1</v>
      </c>
      <c r="I44" s="198">
        <f t="shared" si="71"/>
        <v>15</v>
      </c>
      <c r="J44" s="199">
        <f t="shared" ref="J44" si="86">(D$41*H44)/0.85</f>
        <v>1823.5294117647059</v>
      </c>
      <c r="K44" s="200">
        <f t="shared" ref="K44" si="87">(E$41*H44)/0.941</f>
        <v>510.09564293304999</v>
      </c>
      <c r="L44" s="201">
        <v>0</v>
      </c>
      <c r="M44" s="202">
        <f t="shared" si="72"/>
        <v>267.05882352941177</v>
      </c>
      <c r="N44" s="203">
        <f t="shared" si="73"/>
        <v>37.550892577513309</v>
      </c>
      <c r="O44" s="227">
        <f t="shared" si="62"/>
        <v>1</v>
      </c>
      <c r="P44" s="198">
        <f t="shared" si="74"/>
        <v>15</v>
      </c>
      <c r="Q44" s="199">
        <f t="shared" si="75"/>
        <v>2145.3287197231834</v>
      </c>
      <c r="R44" s="200">
        <f t="shared" si="76"/>
        <v>542.07826029017008</v>
      </c>
      <c r="S44" s="201">
        <f t="shared" si="77"/>
        <v>0</v>
      </c>
      <c r="T44" s="202">
        <f t="shared" si="78"/>
        <v>314.18685121107268</v>
      </c>
      <c r="U44" s="203">
        <f t="shared" si="79"/>
        <v>39.20126587066845</v>
      </c>
      <c r="V44" s="204">
        <f t="shared" si="66"/>
        <v>1</v>
      </c>
      <c r="W44" s="198">
        <f t="shared" si="80"/>
        <v>15</v>
      </c>
      <c r="X44" s="199">
        <f t="shared" si="81"/>
        <v>2523.9161408508039</v>
      </c>
      <c r="Y44" s="200">
        <f t="shared" si="82"/>
        <v>576.066163964049</v>
      </c>
      <c r="Z44" s="201">
        <f t="shared" si="83"/>
        <v>0</v>
      </c>
      <c r="AA44" s="202">
        <f t="shared" si="84"/>
        <v>369.63158966008552</v>
      </c>
      <c r="AB44" s="203">
        <f t="shared" si="85"/>
        <v>327.99546008046008</v>
      </c>
    </row>
    <row r="45" spans="2:28" ht="12.75" customHeight="1" x14ac:dyDescent="0.25">
      <c r="B45" s="914" t="str">
        <f>'Memoria-equipamentoXfuncionario'!C78</f>
        <v>Ajudante Operacional</v>
      </c>
      <c r="C45" s="231">
        <v>15</v>
      </c>
      <c r="D45" s="194">
        <v>1550</v>
      </c>
      <c r="E45" s="195">
        <f>E40</f>
        <v>480</v>
      </c>
      <c r="F45" s="196">
        <f t="shared" si="60"/>
        <v>227</v>
      </c>
      <c r="G45" s="188">
        <f t="shared" si="55"/>
        <v>35.97</v>
      </c>
      <c r="H45" s="227">
        <f>'Memoria-equipamentoXfuncionario'!F78</f>
        <v>4</v>
      </c>
      <c r="I45" s="198">
        <f t="shared" si="56"/>
        <v>60</v>
      </c>
      <c r="J45" s="199">
        <f>(D$45*H45)/0.85</f>
        <v>7294.1176470588234</v>
      </c>
      <c r="K45" s="200">
        <f>K21</f>
        <v>2040.3825717321999</v>
      </c>
      <c r="L45" s="201">
        <v>2</v>
      </c>
      <c r="M45" s="202">
        <f>M21</f>
        <v>1068.2352941176471</v>
      </c>
      <c r="N45" s="203">
        <f>N21</f>
        <v>150.20357031005324</v>
      </c>
      <c r="O45" s="227">
        <v>5</v>
      </c>
      <c r="P45" s="198">
        <f t="shared" si="57"/>
        <v>75</v>
      </c>
      <c r="Q45" s="199">
        <f>Q21</f>
        <v>8581.3148788927338</v>
      </c>
      <c r="R45" s="200">
        <f>R21</f>
        <v>2168.3130411606803</v>
      </c>
      <c r="S45" s="201">
        <f t="shared" si="64"/>
        <v>2</v>
      </c>
      <c r="T45" s="202">
        <f>T21</f>
        <v>1256.7474048442907</v>
      </c>
      <c r="U45" s="203">
        <f>U21</f>
        <v>156.8050634826738</v>
      </c>
      <c r="V45" s="204">
        <f t="shared" si="66"/>
        <v>5</v>
      </c>
      <c r="W45" s="198">
        <f t="shared" si="58"/>
        <v>75</v>
      </c>
      <c r="X45" s="199">
        <f>X21</f>
        <v>10095.664563403216</v>
      </c>
      <c r="Y45" s="200">
        <f>Y21</f>
        <v>2304.264655856196</v>
      </c>
      <c r="Z45" s="201">
        <f t="shared" si="68"/>
        <v>2</v>
      </c>
      <c r="AA45" s="202">
        <f>AA21</f>
        <v>1478.5263586403421</v>
      </c>
      <c r="AB45" s="203">
        <f>AB21</f>
        <v>163.69669431326216</v>
      </c>
    </row>
    <row r="46" spans="2:28" ht="12.75" customHeight="1" x14ac:dyDescent="0.25">
      <c r="B46" s="914" t="str">
        <f>'Memoria-equipamentoXfuncionario'!C79</f>
        <v>Agente de Portaria</v>
      </c>
      <c r="C46" s="231">
        <v>15</v>
      </c>
      <c r="D46" s="194">
        <v>1550</v>
      </c>
      <c r="E46" s="195">
        <f>E41</f>
        <v>480</v>
      </c>
      <c r="F46" s="196">
        <f t="shared" si="60"/>
        <v>227</v>
      </c>
      <c r="G46" s="188">
        <f t="shared" si="55"/>
        <v>35.97</v>
      </c>
      <c r="H46" s="227">
        <f>'Memoria-equipamentoXfuncionario'!F79</f>
        <v>2</v>
      </c>
      <c r="I46" s="198">
        <f t="shared" si="56"/>
        <v>30</v>
      </c>
      <c r="J46" s="199">
        <f>J26</f>
        <v>5470.588235294118</v>
      </c>
      <c r="K46" s="200">
        <f>K26</f>
        <v>1530.28692879915</v>
      </c>
      <c r="L46" s="201">
        <v>2</v>
      </c>
      <c r="M46" s="202">
        <f>M26</f>
        <v>801.17647058823536</v>
      </c>
      <c r="N46" s="203">
        <f>N26</f>
        <v>112.65267773253993</v>
      </c>
      <c r="O46" s="227">
        <f t="shared" si="62"/>
        <v>2</v>
      </c>
      <c r="P46" s="198">
        <f t="shared" si="57"/>
        <v>30</v>
      </c>
      <c r="Q46" s="199">
        <f>Q26</f>
        <v>6435.9861591695508</v>
      </c>
      <c r="R46" s="200">
        <f>R26</f>
        <v>1626.2347808705101</v>
      </c>
      <c r="S46" s="201">
        <f t="shared" si="64"/>
        <v>2</v>
      </c>
      <c r="T46" s="202">
        <f>T26</f>
        <v>942.56055363321809</v>
      </c>
      <c r="U46" s="203">
        <f>U26</f>
        <v>117.60379761200535</v>
      </c>
      <c r="V46" s="204">
        <f t="shared" si="66"/>
        <v>2</v>
      </c>
      <c r="W46" s="198">
        <f t="shared" si="58"/>
        <v>30</v>
      </c>
      <c r="X46" s="199">
        <f>X26</f>
        <v>7571.7484225524131</v>
      </c>
      <c r="Y46" s="200">
        <f>Y26</f>
        <v>1728.1984918921469</v>
      </c>
      <c r="Z46" s="201">
        <f t="shared" si="68"/>
        <v>2</v>
      </c>
      <c r="AA46" s="202">
        <f>AA26</f>
        <v>1108.8947689802567</v>
      </c>
      <c r="AB46" s="203">
        <f>AB26</f>
        <v>122.77252073494661</v>
      </c>
    </row>
    <row r="47" spans="2:28" ht="12.75" customHeight="1" x14ac:dyDescent="0.3">
      <c r="B47" s="233" t="s">
        <v>181</v>
      </c>
      <c r="C47" s="234"/>
      <c r="D47" s="234"/>
      <c r="E47" s="234"/>
      <c r="F47" s="234"/>
      <c r="G47" s="235"/>
      <c r="H47" s="236">
        <f t="shared" ref="H47:N47" si="88">SUM(H39:H46)</f>
        <v>21</v>
      </c>
      <c r="I47" s="237">
        <f t="shared" si="88"/>
        <v>320</v>
      </c>
      <c r="J47" s="238">
        <f t="shared" si="88"/>
        <v>40117.647058823532</v>
      </c>
      <c r="K47" s="239">
        <f t="shared" si="88"/>
        <v>11222.1041445271</v>
      </c>
      <c r="L47" s="240">
        <f t="shared" si="88"/>
        <v>8</v>
      </c>
      <c r="M47" s="241">
        <f t="shared" si="88"/>
        <v>5969.5501730103797</v>
      </c>
      <c r="N47" s="242">
        <f t="shared" si="88"/>
        <v>826.11963670529281</v>
      </c>
      <c r="O47" s="227">
        <f t="shared" si="62"/>
        <v>21</v>
      </c>
      <c r="P47" s="243">
        <f t="shared" ref="P47:U47" si="89">SUM(P39:P46)</f>
        <v>350</v>
      </c>
      <c r="Q47" s="238">
        <f t="shared" si="89"/>
        <v>47197.231833910038</v>
      </c>
      <c r="R47" s="239">
        <f t="shared" si="89"/>
        <v>11925.721726383741</v>
      </c>
      <c r="S47" s="240">
        <f t="shared" si="89"/>
        <v>8</v>
      </c>
      <c r="T47" s="241">
        <f t="shared" si="89"/>
        <v>6912.1107266435984</v>
      </c>
      <c r="U47" s="242">
        <f t="shared" si="89"/>
        <v>862.42784915470588</v>
      </c>
      <c r="V47" s="204">
        <f>O47</f>
        <v>21</v>
      </c>
      <c r="W47" s="243">
        <f t="shared" ref="W47:AB47" si="90">SUM(W39:W46)</f>
        <v>350</v>
      </c>
      <c r="X47" s="238">
        <f t="shared" si="90"/>
        <v>55526.155098717689</v>
      </c>
      <c r="Y47" s="239">
        <f t="shared" si="90"/>
        <v>12673.455607209075</v>
      </c>
      <c r="Z47" s="240">
        <f t="shared" si="90"/>
        <v>8</v>
      </c>
      <c r="AA47" s="241">
        <f t="shared" si="90"/>
        <v>8131.8949725218808</v>
      </c>
      <c r="AB47" s="242">
        <f t="shared" si="90"/>
        <v>4632.2585432508204</v>
      </c>
    </row>
    <row r="50" spans="2:28" ht="12.75" customHeight="1" x14ac:dyDescent="0.3">
      <c r="B50" s="144" t="s">
        <v>197</v>
      </c>
      <c r="C50" s="247"/>
      <c r="D50" s="247"/>
      <c r="E50" s="247"/>
      <c r="F50" s="247"/>
      <c r="G50" s="248"/>
      <c r="H50" s="249">
        <f t="shared" ref="H50:AB50" si="91">H29+H33+H37+H47</f>
        <v>51</v>
      </c>
      <c r="I50" s="250">
        <f t="shared" si="91"/>
        <v>620</v>
      </c>
      <c r="J50" s="251">
        <f t="shared" si="91"/>
        <v>94855.294117647078</v>
      </c>
      <c r="K50" s="213">
        <f t="shared" si="91"/>
        <v>26464.782146652506</v>
      </c>
      <c r="L50" s="214">
        <f t="shared" si="91"/>
        <v>33</v>
      </c>
      <c r="M50" s="215">
        <f t="shared" si="91"/>
        <v>14547.19723183391</v>
      </c>
      <c r="N50" s="252">
        <f t="shared" si="91"/>
        <v>1951.0655214531787</v>
      </c>
      <c r="O50" s="249">
        <f t="shared" si="91"/>
        <v>55</v>
      </c>
      <c r="P50" s="250">
        <f t="shared" si="91"/>
        <v>880</v>
      </c>
      <c r="Q50" s="212">
        <f t="shared" si="91"/>
        <v>111594.46366782009</v>
      </c>
      <c r="R50" s="213">
        <f t="shared" si="91"/>
        <v>28188.069535088845</v>
      </c>
      <c r="S50" s="214">
        <f t="shared" si="91"/>
        <v>34</v>
      </c>
      <c r="T50" s="215">
        <f t="shared" si="91"/>
        <v>16654.712802768165</v>
      </c>
      <c r="U50" s="216">
        <f t="shared" si="91"/>
        <v>2103.9432935334225</v>
      </c>
      <c r="V50" s="249">
        <f t="shared" si="91"/>
        <v>56</v>
      </c>
      <c r="W50" s="250">
        <f t="shared" si="91"/>
        <v>900</v>
      </c>
      <c r="X50" s="212">
        <f t="shared" si="91"/>
        <v>131287.60431508243</v>
      </c>
      <c r="Y50" s="213">
        <f t="shared" si="91"/>
        <v>29955.440526130547</v>
      </c>
      <c r="Z50" s="214">
        <f t="shared" si="91"/>
        <v>35</v>
      </c>
      <c r="AA50" s="215">
        <f t="shared" si="91"/>
        <v>19264.807653165073</v>
      </c>
      <c r="AB50" s="253">
        <f t="shared" si="91"/>
        <v>5859.9837506002859</v>
      </c>
    </row>
    <row r="51" spans="2:28" ht="12.75" customHeight="1" x14ac:dyDescent="0.25">
      <c r="B51" s="18"/>
      <c r="C51" s="254"/>
      <c r="D51" s="254"/>
      <c r="E51" s="254"/>
      <c r="F51" s="254"/>
      <c r="G51" s="255"/>
      <c r="H51" s="152"/>
      <c r="I51" s="152"/>
      <c r="J51" s="152"/>
      <c r="K51" s="152"/>
      <c r="L51" s="152"/>
      <c r="M51" s="152"/>
      <c r="N51" s="152"/>
      <c r="O51" s="152"/>
      <c r="P51" s="152"/>
      <c r="Q51" s="152"/>
      <c r="R51" s="152"/>
      <c r="S51" s="152"/>
      <c r="T51" s="152"/>
      <c r="U51" s="152"/>
      <c r="V51" s="152"/>
      <c r="W51" s="152"/>
      <c r="X51" s="152"/>
      <c r="Y51" s="152"/>
      <c r="Z51" s="152"/>
      <c r="AA51" s="152"/>
      <c r="AB51" s="152"/>
    </row>
    <row r="52" spans="2:28" ht="12.75" customHeight="1" x14ac:dyDescent="0.3">
      <c r="B52" s="256" t="s">
        <v>198</v>
      </c>
      <c r="C52" s="244"/>
      <c r="D52" s="244"/>
      <c r="E52" s="244"/>
      <c r="F52" s="244"/>
      <c r="G52" s="245"/>
      <c r="H52" s="176"/>
      <c r="I52" s="176"/>
      <c r="J52" s="176"/>
      <c r="K52" s="176"/>
      <c r="L52" s="176"/>
      <c r="M52" s="176"/>
      <c r="N52" s="176"/>
      <c r="O52" s="176"/>
      <c r="P52" s="152"/>
      <c r="Q52" s="176"/>
      <c r="R52" s="176"/>
      <c r="S52" s="176"/>
      <c r="T52" s="176"/>
      <c r="U52" s="176"/>
      <c r="V52" s="176"/>
      <c r="W52" s="152"/>
      <c r="X52" s="176"/>
      <c r="Y52" s="176"/>
      <c r="Z52" s="176"/>
      <c r="AA52" s="176"/>
      <c r="AB52" s="176"/>
    </row>
    <row r="53" spans="2:28" ht="12.75" customHeight="1" x14ac:dyDescent="0.25">
      <c r="B53" s="19" t="s">
        <v>199</v>
      </c>
      <c r="C53" s="257"/>
      <c r="D53" s="257"/>
      <c r="E53" s="257"/>
      <c r="F53" s="257"/>
      <c r="G53" s="258"/>
      <c r="H53" s="259"/>
      <c r="I53" s="813">
        <v>28</v>
      </c>
      <c r="J53" s="261"/>
      <c r="K53" s="262"/>
      <c r="L53" s="263">
        <f>$F53*H53</f>
        <v>0</v>
      </c>
      <c r="M53" s="264">
        <f>$F53*I53</f>
        <v>0</v>
      </c>
      <c r="N53" s="265">
        <f>$G53*H53</f>
        <v>0</v>
      </c>
      <c r="O53" s="266"/>
      <c r="P53" s="260">
        <v>20</v>
      </c>
      <c r="Q53" s="261"/>
      <c r="R53" s="262"/>
      <c r="S53" s="263">
        <f>$F53*O53</f>
        <v>0</v>
      </c>
      <c r="T53" s="264">
        <f>$F53*P53</f>
        <v>0</v>
      </c>
      <c r="U53" s="265">
        <f>$G53*O53</f>
        <v>0</v>
      </c>
      <c r="V53" s="267"/>
      <c r="W53" s="260">
        <v>20</v>
      </c>
      <c r="X53" s="261"/>
      <c r="Y53" s="262"/>
      <c r="Z53" s="263">
        <f>$F53*V53</f>
        <v>0</v>
      </c>
      <c r="AA53" s="264">
        <f>$F53*W53</f>
        <v>0</v>
      </c>
      <c r="AB53" s="265">
        <f>$G53*V53</f>
        <v>0</v>
      </c>
    </row>
    <row r="54" spans="2:28" ht="12.75" customHeight="1" x14ac:dyDescent="0.25">
      <c r="B54" s="19" t="s">
        <v>200</v>
      </c>
      <c r="C54" s="257"/>
      <c r="D54" s="257"/>
      <c r="E54" s="257"/>
      <c r="F54" s="257"/>
      <c r="G54" s="268"/>
      <c r="H54" s="269"/>
      <c r="I54" s="814">
        <v>100</v>
      </c>
      <c r="J54" s="261"/>
      <c r="K54" s="262"/>
      <c r="L54" s="263"/>
      <c r="M54" s="264">
        <f>$F54*I54</f>
        <v>0</v>
      </c>
      <c r="N54" s="265"/>
      <c r="O54" s="266"/>
      <c r="P54" s="270">
        <v>55</v>
      </c>
      <c r="Q54" s="261"/>
      <c r="R54" s="262"/>
      <c r="S54" s="263"/>
      <c r="T54" s="264"/>
      <c r="U54" s="265"/>
      <c r="V54" s="267"/>
      <c r="W54" s="270">
        <v>55</v>
      </c>
      <c r="X54" s="261"/>
      <c r="Y54" s="262"/>
      <c r="Z54" s="263"/>
      <c r="AA54" s="264"/>
      <c r="AB54" s="265"/>
    </row>
    <row r="55" spans="2:28" ht="12.75" customHeight="1" x14ac:dyDescent="0.25">
      <c r="B55" s="44" t="s">
        <v>201</v>
      </c>
      <c r="C55" s="271"/>
      <c r="D55" s="271"/>
      <c r="E55" s="271"/>
      <c r="F55" s="271"/>
      <c r="G55" s="272"/>
      <c r="H55" s="273"/>
      <c r="I55" s="807">
        <v>30.25</v>
      </c>
      <c r="J55" s="275"/>
      <c r="K55" s="276"/>
      <c r="L55" s="277">
        <f>$F55*H55</f>
        <v>0</v>
      </c>
      <c r="M55" s="278">
        <f>$F55*I55</f>
        <v>0</v>
      </c>
      <c r="N55" s="279">
        <f>$G55*H55</f>
        <v>0</v>
      </c>
      <c r="O55" s="271"/>
      <c r="P55" s="274">
        <v>200</v>
      </c>
      <c r="Q55" s="275"/>
      <c r="R55" s="276"/>
      <c r="S55" s="277">
        <f>$F55*O55</f>
        <v>0</v>
      </c>
      <c r="T55" s="278">
        <f>$F55*P55</f>
        <v>0</v>
      </c>
      <c r="U55" s="279">
        <f>$G55*O55</f>
        <v>0</v>
      </c>
      <c r="V55" s="280"/>
      <c r="W55" s="274">
        <v>200</v>
      </c>
      <c r="X55" s="275"/>
      <c r="Y55" s="276"/>
      <c r="Z55" s="277">
        <f>$F55*V55</f>
        <v>0</v>
      </c>
      <c r="AA55" s="278">
        <f>$F55*W55</f>
        <v>0</v>
      </c>
      <c r="AB55" s="279">
        <f>$G55*V55</f>
        <v>0</v>
      </c>
    </row>
    <row r="56" spans="2:28" ht="12.75" customHeight="1" x14ac:dyDescent="0.25">
      <c r="B56" s="44" t="s">
        <v>202</v>
      </c>
      <c r="C56" s="271"/>
      <c r="D56" s="271"/>
      <c r="E56" s="271"/>
      <c r="F56" s="271"/>
      <c r="G56" s="272"/>
      <c r="H56" s="273"/>
      <c r="I56" s="807">
        <f>50*25</f>
        <v>1250</v>
      </c>
      <c r="J56" s="275"/>
      <c r="K56" s="276"/>
      <c r="L56" s="277"/>
      <c r="M56" s="278"/>
      <c r="N56" s="279"/>
      <c r="O56" s="271"/>
      <c r="P56" s="274">
        <f>I56</f>
        <v>1250</v>
      </c>
      <c r="Q56" s="275"/>
      <c r="R56" s="276"/>
      <c r="S56" s="277"/>
      <c r="T56" s="278"/>
      <c r="U56" s="279"/>
      <c r="V56" s="280"/>
      <c r="W56" s="274">
        <f>P56</f>
        <v>1250</v>
      </c>
      <c r="X56" s="275"/>
      <c r="Y56" s="276"/>
      <c r="Z56" s="277"/>
      <c r="AA56" s="278"/>
      <c r="AB56" s="279"/>
    </row>
    <row r="57" spans="2:28" ht="12.75" customHeight="1" x14ac:dyDescent="0.3">
      <c r="B57" s="281" t="s">
        <v>203</v>
      </c>
      <c r="C57" s="220"/>
      <c r="D57" s="220"/>
      <c r="E57" s="220"/>
      <c r="F57" s="220"/>
      <c r="G57" s="282"/>
      <c r="H57" s="220"/>
      <c r="I57" s="283">
        <f>SUM(I53:I56)</f>
        <v>1408.25</v>
      </c>
      <c r="J57" s="284"/>
      <c r="K57" s="285"/>
      <c r="L57" s="286">
        <f>$F57*H57</f>
        <v>0</v>
      </c>
      <c r="M57" s="287">
        <f>$F57*I57</f>
        <v>0</v>
      </c>
      <c r="N57" s="288">
        <f>$G57*H57</f>
        <v>0</v>
      </c>
      <c r="O57" s="210"/>
      <c r="P57" s="289">
        <f>SUM(P53:P56)</f>
        <v>1525</v>
      </c>
      <c r="Q57" s="284"/>
      <c r="R57" s="285"/>
      <c r="S57" s="286">
        <f>$F57*O57</f>
        <v>0</v>
      </c>
      <c r="T57" s="287">
        <f>$F57*P57</f>
        <v>0</v>
      </c>
      <c r="U57" s="288">
        <f>$G57*O57</f>
        <v>0</v>
      </c>
      <c r="V57" s="217"/>
      <c r="W57" s="289">
        <f>SUM(W53:W56)</f>
        <v>1525</v>
      </c>
      <c r="X57" s="284"/>
      <c r="Y57" s="285"/>
      <c r="Z57" s="286">
        <f>$F57*V57</f>
        <v>0</v>
      </c>
      <c r="AA57" s="287">
        <f>$F57*W57</f>
        <v>0</v>
      </c>
      <c r="AB57" s="288">
        <f>$G57*V57</f>
        <v>0</v>
      </c>
    </row>
    <row r="58" spans="2:28" ht="12.75" customHeight="1" x14ac:dyDescent="0.25">
      <c r="B58" s="290"/>
      <c r="C58" s="246"/>
      <c r="D58" s="246"/>
      <c r="E58" s="246"/>
      <c r="F58" s="246"/>
      <c r="G58" s="291"/>
      <c r="H58" s="246"/>
      <c r="I58" s="246"/>
      <c r="J58" s="246"/>
      <c r="K58" s="246"/>
      <c r="L58" s="246"/>
      <c r="M58" s="246"/>
      <c r="N58" s="246"/>
      <c r="O58" s="246"/>
      <c r="P58" s="246"/>
      <c r="Q58" s="246"/>
      <c r="R58" s="246"/>
      <c r="S58" s="246"/>
      <c r="T58" s="246"/>
      <c r="U58" s="246"/>
      <c r="V58" s="246"/>
      <c r="W58" s="246"/>
      <c r="X58" s="246"/>
      <c r="Y58" s="246"/>
      <c r="Z58" s="246"/>
      <c r="AA58" s="246"/>
      <c r="AB58" s="246"/>
    </row>
    <row r="59" spans="2:28" ht="12.75" customHeight="1" x14ac:dyDescent="0.3">
      <c r="B59" s="411" t="s">
        <v>182</v>
      </c>
      <c r="C59" s="220"/>
      <c r="D59" s="220"/>
      <c r="E59" s="220"/>
      <c r="F59" s="220"/>
      <c r="G59" s="282"/>
      <c r="H59" s="918">
        <f t="shared" ref="H59:AB59" si="92">H50+H57</f>
        <v>51</v>
      </c>
      <c r="I59" s="919">
        <f t="shared" si="92"/>
        <v>2028.25</v>
      </c>
      <c r="J59" s="920">
        <f t="shared" si="92"/>
        <v>94855.294117647078</v>
      </c>
      <c r="K59" s="921">
        <f t="shared" si="92"/>
        <v>26464.782146652506</v>
      </c>
      <c r="L59" s="922">
        <f t="shared" si="92"/>
        <v>33</v>
      </c>
      <c r="M59" s="923">
        <f t="shared" si="92"/>
        <v>14547.19723183391</v>
      </c>
      <c r="N59" s="924">
        <f t="shared" si="92"/>
        <v>1951.0655214531787</v>
      </c>
      <c r="O59" s="925">
        <f t="shared" si="92"/>
        <v>55</v>
      </c>
      <c r="P59" s="919">
        <f t="shared" si="92"/>
        <v>2405</v>
      </c>
      <c r="Q59" s="920">
        <f t="shared" si="92"/>
        <v>111594.46366782009</v>
      </c>
      <c r="R59" s="921">
        <f t="shared" si="92"/>
        <v>28188.069535088845</v>
      </c>
      <c r="S59" s="922">
        <f t="shared" si="92"/>
        <v>34</v>
      </c>
      <c r="T59" s="923">
        <f t="shared" si="92"/>
        <v>16654.712802768165</v>
      </c>
      <c r="U59" s="924">
        <f t="shared" si="92"/>
        <v>2103.9432935334225</v>
      </c>
      <c r="V59" s="925">
        <f t="shared" si="92"/>
        <v>56</v>
      </c>
      <c r="W59" s="919">
        <f t="shared" si="92"/>
        <v>2425</v>
      </c>
      <c r="X59" s="920">
        <f t="shared" si="92"/>
        <v>131287.60431508243</v>
      </c>
      <c r="Y59" s="921">
        <f t="shared" si="92"/>
        <v>29955.440526130547</v>
      </c>
      <c r="Z59" s="922">
        <f t="shared" si="92"/>
        <v>35</v>
      </c>
      <c r="AA59" s="923">
        <f t="shared" si="92"/>
        <v>19264.807653165073</v>
      </c>
      <c r="AB59" s="924">
        <f t="shared" si="92"/>
        <v>5859.9837506002859</v>
      </c>
    </row>
    <row r="60" spans="2:28" ht="12.75" customHeight="1" x14ac:dyDescent="0.25">
      <c r="B60" s="7"/>
      <c r="C60" s="8"/>
      <c r="D60" s="8"/>
      <c r="E60" s="8"/>
      <c r="F60" s="8"/>
      <c r="G60" s="180"/>
      <c r="H60" s="8"/>
      <c r="I60" s="8"/>
      <c r="J60" s="8"/>
      <c r="K60" s="8"/>
      <c r="L60" s="8"/>
      <c r="M60" s="8"/>
      <c r="N60" s="8"/>
      <c r="O60" s="8"/>
      <c r="P60" s="8"/>
      <c r="Q60" s="8"/>
      <c r="R60" s="8"/>
      <c r="S60" s="8"/>
      <c r="T60" s="8"/>
      <c r="U60" s="8"/>
      <c r="V60" s="8"/>
      <c r="W60" s="8"/>
      <c r="X60" s="8"/>
      <c r="Y60" s="8"/>
      <c r="Z60" s="8"/>
      <c r="AA60" s="8"/>
      <c r="AB60" s="8"/>
    </row>
    <row r="61" spans="2:28" ht="12.75" customHeight="1" x14ac:dyDescent="0.25">
      <c r="B61" s="7"/>
      <c r="C61" s="7"/>
      <c r="D61" s="7"/>
      <c r="E61" s="7"/>
      <c r="F61" s="8"/>
      <c r="G61" s="180"/>
      <c r="H61" s="8"/>
      <c r="I61" s="8"/>
      <c r="J61" s="8"/>
      <c r="K61" s="8"/>
      <c r="L61" s="8"/>
      <c r="M61" s="8"/>
      <c r="N61" s="8"/>
      <c r="O61" s="8"/>
      <c r="P61" s="8"/>
      <c r="Q61" s="8"/>
      <c r="R61" s="8"/>
      <c r="S61" s="8"/>
      <c r="T61" s="8"/>
      <c r="U61" s="8"/>
      <c r="V61" s="8"/>
      <c r="W61" s="8"/>
      <c r="X61" s="8"/>
      <c r="Y61" s="8"/>
      <c r="Z61" s="8"/>
      <c r="AA61" s="8"/>
      <c r="AB61" s="8"/>
    </row>
    <row r="62" spans="2:28" ht="12.75" customHeight="1" x14ac:dyDescent="0.25">
      <c r="B62" s="7"/>
      <c r="C62" s="7"/>
      <c r="D62" s="7"/>
      <c r="E62" s="7"/>
      <c r="F62" s="8"/>
      <c r="G62" s="180"/>
      <c r="H62" s="8"/>
      <c r="I62" s="8"/>
      <c r="J62" s="8"/>
      <c r="K62" s="8"/>
      <c r="L62" s="8"/>
      <c r="M62" s="8"/>
      <c r="N62" s="8"/>
      <c r="O62" s="8"/>
      <c r="P62" s="8"/>
      <c r="Q62" s="8"/>
      <c r="R62" s="8"/>
      <c r="S62" s="8"/>
      <c r="T62" s="8"/>
      <c r="U62" s="8"/>
      <c r="V62" s="8"/>
      <c r="W62" s="8"/>
      <c r="X62" s="8"/>
      <c r="Y62" s="8"/>
      <c r="Z62" s="8"/>
      <c r="AA62" s="8"/>
      <c r="AB62" s="8"/>
    </row>
    <row r="63" spans="2:28" ht="12.75" customHeight="1" x14ac:dyDescent="0.25">
      <c r="B63" s="734"/>
      <c r="C63" s="7"/>
      <c r="D63" s="7"/>
      <c r="E63" s="7"/>
      <c r="F63" s="8"/>
      <c r="G63" s="180"/>
      <c r="H63" s="8"/>
      <c r="I63" s="8"/>
      <c r="J63" s="8"/>
      <c r="K63" s="8"/>
      <c r="L63" s="8"/>
      <c r="M63" s="8"/>
      <c r="N63" s="8"/>
      <c r="O63" s="8"/>
      <c r="P63" s="8"/>
      <c r="Q63" s="8"/>
      <c r="R63" s="8"/>
      <c r="S63" s="8"/>
      <c r="T63" s="8"/>
      <c r="U63" s="8"/>
      <c r="V63" s="8"/>
      <c r="W63" s="8"/>
      <c r="X63" s="8"/>
      <c r="Y63" s="8"/>
      <c r="Z63" s="8"/>
      <c r="AA63" s="8"/>
      <c r="AB63" s="8"/>
    </row>
    <row r="64" spans="2:28" ht="12.75" customHeight="1" x14ac:dyDescent="0.25">
      <c r="B64" s="7"/>
      <c r="C64" s="7"/>
      <c r="D64" s="7"/>
      <c r="E64" s="7"/>
      <c r="F64" s="8"/>
      <c r="G64" s="180"/>
      <c r="H64" s="8"/>
      <c r="I64" s="8"/>
      <c r="J64" s="8"/>
      <c r="K64" s="8"/>
      <c r="L64" s="8"/>
      <c r="M64" s="8"/>
      <c r="N64" s="8"/>
      <c r="O64" s="8"/>
      <c r="P64" s="8"/>
      <c r="Q64" s="8"/>
      <c r="R64" s="8"/>
      <c r="S64" s="8"/>
      <c r="T64" s="8"/>
      <c r="U64" s="8"/>
      <c r="V64" s="8"/>
      <c r="W64" s="8"/>
      <c r="X64" s="8"/>
      <c r="Y64" s="8"/>
      <c r="Z64" s="8"/>
      <c r="AA64" s="8"/>
      <c r="AB64" s="8">
        <f>12*AB59</f>
        <v>70319.805007203424</v>
      </c>
    </row>
  </sheetData>
  <mergeCells count="8">
    <mergeCell ref="O11:U11"/>
    <mergeCell ref="V11:AB11"/>
    <mergeCell ref="C3:N3"/>
    <mergeCell ref="C4:N4"/>
    <mergeCell ref="C5:N5"/>
    <mergeCell ref="B8:E8"/>
    <mergeCell ref="C11:G11"/>
    <mergeCell ref="H11:N11"/>
  </mergeCells>
  <pageMargins left="0.51180555555555496" right="0.51180555555555496" top="0.78749999999999998" bottom="0.78749999999999998" header="0.51180555555555496" footer="0.51180555555555496"/>
  <pageSetup paperSize="9" firstPageNumber="0" orientation="portrait" horizontalDpi="300" verticalDpi="300"/>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B3:N75"/>
  <sheetViews>
    <sheetView topLeftCell="A18" workbookViewId="0">
      <selection activeCell="E29" sqref="E29"/>
    </sheetView>
  </sheetViews>
  <sheetFormatPr defaultRowHeight="12.5" x14ac:dyDescent="0.25"/>
  <cols>
    <col min="1" max="1" width="0.81640625" customWidth="1"/>
    <col min="2" max="2" width="0.26953125" customWidth="1"/>
    <col min="3" max="3" width="12.26953125" customWidth="1"/>
    <col min="4" max="4" width="24.81640625" customWidth="1"/>
    <col min="5" max="5" width="18.7265625" customWidth="1"/>
    <col min="6" max="6" width="19.54296875" customWidth="1"/>
    <col min="7" max="7" width="25.81640625" customWidth="1"/>
    <col min="8" max="8" width="21.81640625" customWidth="1"/>
    <col min="9" max="9" width="21.7265625" customWidth="1"/>
    <col min="10" max="10" width="21.1796875" customWidth="1"/>
    <col min="11" max="11" width="17.453125" customWidth="1"/>
    <col min="12" max="12" width="22.7265625" customWidth="1"/>
    <col min="13" max="13" width="12.7265625" customWidth="1"/>
    <col min="14" max="14" width="23.26953125" customWidth="1"/>
    <col min="15" max="15" width="14.1796875" customWidth="1"/>
    <col min="16" max="26" width="8.7265625" customWidth="1"/>
    <col min="27" max="1025" width="14.453125" customWidth="1"/>
  </cols>
  <sheetData>
    <row r="3" spans="2:9" ht="12.75" customHeight="1" x14ac:dyDescent="0.35">
      <c r="B3" s="7"/>
      <c r="C3" s="7"/>
      <c r="D3" s="990" t="s">
        <v>70</v>
      </c>
      <c r="E3" s="990"/>
      <c r="F3" s="990"/>
      <c r="G3" s="990"/>
      <c r="H3" s="990"/>
      <c r="I3" s="990"/>
    </row>
    <row r="4" spans="2:9" ht="12.75" customHeight="1" x14ac:dyDescent="0.35">
      <c r="B4" s="7"/>
      <c r="C4" s="7"/>
      <c r="D4" s="991" t="s">
        <v>71</v>
      </c>
      <c r="E4" s="991"/>
      <c r="F4" s="991"/>
      <c r="G4" s="991"/>
      <c r="H4" s="991"/>
      <c r="I4" s="991"/>
    </row>
    <row r="5" spans="2:9" ht="12.75" customHeight="1" x14ac:dyDescent="0.35">
      <c r="B5" s="7"/>
      <c r="C5" s="7"/>
      <c r="D5" s="992"/>
      <c r="E5" s="992"/>
      <c r="F5" s="992"/>
      <c r="G5" s="992"/>
      <c r="H5" s="992"/>
      <c r="I5" s="992"/>
    </row>
    <row r="6" spans="2:9" ht="12.75" customHeight="1" x14ac:dyDescent="0.25">
      <c r="B6" s="7"/>
      <c r="C6" s="7"/>
      <c r="D6" s="106"/>
      <c r="E6" s="106"/>
      <c r="F6" s="106"/>
      <c r="G6" s="106"/>
      <c r="H6" s="106"/>
      <c r="I6" s="7"/>
    </row>
    <row r="7" spans="2:9" ht="12.75" customHeight="1" x14ac:dyDescent="0.25">
      <c r="B7" s="7"/>
      <c r="C7" s="7"/>
      <c r="D7" s="106"/>
      <c r="E7" s="106"/>
      <c r="F7" s="106"/>
      <c r="G7" s="106"/>
      <c r="H7" s="106"/>
      <c r="I7" s="7"/>
    </row>
    <row r="8" spans="2:9" ht="12.75" customHeight="1" x14ac:dyDescent="0.25">
      <c r="B8" s="7"/>
      <c r="C8" s="7"/>
      <c r="D8" s="106"/>
      <c r="E8" s="106"/>
      <c r="F8" s="106"/>
      <c r="G8" s="106"/>
      <c r="H8" s="106"/>
      <c r="I8" s="7"/>
    </row>
    <row r="9" spans="2:9" ht="12.75" customHeight="1" x14ac:dyDescent="0.25">
      <c r="B9" s="7"/>
      <c r="C9" s="7"/>
      <c r="D9" s="7"/>
      <c r="E9" s="7"/>
      <c r="F9" s="7"/>
      <c r="G9" s="7"/>
      <c r="H9" s="7"/>
      <c r="I9" s="7"/>
    </row>
    <row r="10" spans="2:9" ht="20.25" customHeight="1" x14ac:dyDescent="0.35">
      <c r="B10" s="7"/>
      <c r="C10" s="969" t="s">
        <v>204</v>
      </c>
      <c r="D10" s="969"/>
      <c r="E10" s="969"/>
      <c r="F10" s="969"/>
      <c r="G10" s="7"/>
      <c r="H10" s="7"/>
      <c r="I10" s="7"/>
    </row>
    <row r="11" spans="2:9" ht="21.75" customHeight="1" x14ac:dyDescent="0.35">
      <c r="B11" s="7"/>
      <c r="C11" s="293"/>
      <c r="D11" s="18"/>
      <c r="E11" s="18"/>
      <c r="F11" s="18"/>
      <c r="G11" s="7"/>
      <c r="H11" s="7"/>
      <c r="I11" s="7"/>
    </row>
    <row r="12" spans="2:9" ht="3" customHeight="1" x14ac:dyDescent="0.25">
      <c r="B12" s="7"/>
      <c r="C12" s="7"/>
      <c r="D12" s="7"/>
      <c r="E12" s="7"/>
      <c r="F12" s="7"/>
      <c r="G12" s="7"/>
      <c r="H12" s="7"/>
      <c r="I12" s="7"/>
    </row>
    <row r="13" spans="2:9" ht="18" customHeight="1" x14ac:dyDescent="0.4">
      <c r="B13" s="7"/>
      <c r="C13" s="294"/>
      <c r="D13" s="993" t="s">
        <v>205</v>
      </c>
      <c r="E13" s="993"/>
      <c r="F13" s="769">
        <v>1.1975</v>
      </c>
      <c r="G13" s="734"/>
      <c r="H13" s="7"/>
      <c r="I13" s="7"/>
    </row>
    <row r="14" spans="2:9" ht="12.75" customHeight="1" x14ac:dyDescent="0.35">
      <c r="B14" s="7"/>
      <c r="C14" s="7"/>
      <c r="D14" s="7"/>
      <c r="E14" s="7"/>
      <c r="F14" s="987"/>
      <c r="G14" s="987"/>
      <c r="H14" s="987"/>
      <c r="I14" s="987"/>
    </row>
    <row r="15" spans="2:9" ht="12.75" customHeight="1" x14ac:dyDescent="0.35">
      <c r="B15" s="295">
        <v>1</v>
      </c>
      <c r="C15" s="988" t="s">
        <v>206</v>
      </c>
      <c r="D15" s="988"/>
      <c r="E15" s="7"/>
      <c r="F15" s="987"/>
      <c r="G15" s="987"/>
      <c r="H15" s="987"/>
      <c r="I15" s="987"/>
    </row>
    <row r="18" spans="3:11" ht="15" customHeight="1" x14ac:dyDescent="0.35">
      <c r="C18" s="989" t="s">
        <v>207</v>
      </c>
      <c r="D18" s="989"/>
      <c r="E18" s="296"/>
      <c r="F18" s="290"/>
      <c r="G18" s="290"/>
      <c r="H18" s="290"/>
      <c r="I18" s="290"/>
      <c r="J18" s="290"/>
      <c r="K18" s="290"/>
    </row>
    <row r="19" spans="3:11" ht="25.5" customHeight="1" x14ac:dyDescent="0.3">
      <c r="C19" s="297" t="s">
        <v>80</v>
      </c>
      <c r="D19" s="298" t="s">
        <v>208</v>
      </c>
      <c r="E19" s="298" t="s">
        <v>209</v>
      </c>
      <c r="F19" s="298" t="s">
        <v>210</v>
      </c>
      <c r="G19" s="298" t="s">
        <v>211</v>
      </c>
      <c r="H19" s="299" t="s">
        <v>212</v>
      </c>
      <c r="I19" s="299" t="s">
        <v>213</v>
      </c>
      <c r="J19" s="299" t="s">
        <v>214</v>
      </c>
      <c r="K19" s="300" t="s">
        <v>215</v>
      </c>
    </row>
    <row r="20" spans="3:11" ht="15" customHeight="1" x14ac:dyDescent="0.3">
      <c r="C20" s="301" t="s">
        <v>216</v>
      </c>
      <c r="D20" s="302">
        <f>'Anexo IV - ano 1 a 10 - inicial'!D70</f>
        <v>2188.25</v>
      </c>
      <c r="E20" s="116">
        <v>6.25</v>
      </c>
      <c r="F20" s="302">
        <f>D20*E20</f>
        <v>13676.5625</v>
      </c>
      <c r="G20" s="117">
        <v>9</v>
      </c>
      <c r="H20" s="117">
        <v>22</v>
      </c>
      <c r="I20" s="308">
        <f>F20*G20*H20/1000</f>
        <v>2707.9593749999999</v>
      </c>
      <c r="J20" s="308">
        <f>I20*12</f>
        <v>32495.512499999997</v>
      </c>
      <c r="K20" s="303">
        <f>J20*$F$13</f>
        <v>38913.376218749996</v>
      </c>
    </row>
    <row r="21" spans="3:11" ht="15" customHeight="1" x14ac:dyDescent="0.3">
      <c r="C21" s="301" t="s">
        <v>217</v>
      </c>
      <c r="D21" s="302">
        <f>'Anexo IV - ano 11 a 15'!D46</f>
        <v>2565</v>
      </c>
      <c r="E21" s="116">
        <v>6.25</v>
      </c>
      <c r="F21" s="302">
        <f>D21*E21</f>
        <v>16031.25</v>
      </c>
      <c r="G21" s="117">
        <v>9</v>
      </c>
      <c r="H21" s="117">
        <v>22</v>
      </c>
      <c r="I21" s="308">
        <f>F21*G21*H21/1000</f>
        <v>3174.1875</v>
      </c>
      <c r="J21" s="308">
        <f>I21*12</f>
        <v>38090.25</v>
      </c>
      <c r="K21" s="303">
        <f>J21*$F$13</f>
        <v>45613.074375000004</v>
      </c>
    </row>
    <row r="22" spans="3:11" ht="15" customHeight="1" x14ac:dyDescent="0.3">
      <c r="C22" s="301" t="s">
        <v>218</v>
      </c>
      <c r="D22" s="302">
        <f>'Anexo IV - ano 16 a 25'!D46</f>
        <v>2585</v>
      </c>
      <c r="E22" s="116">
        <v>6.25</v>
      </c>
      <c r="F22" s="302">
        <f>D22*E22</f>
        <v>16156.25</v>
      </c>
      <c r="G22" s="117">
        <v>9</v>
      </c>
      <c r="H22" s="117">
        <v>22</v>
      </c>
      <c r="I22" s="308">
        <f>F22*G22*H22/1000</f>
        <v>3198.9375</v>
      </c>
      <c r="J22" s="308">
        <f>I22*12</f>
        <v>38387.25</v>
      </c>
      <c r="K22" s="303">
        <f>J22*$F$13</f>
        <v>45968.731874999998</v>
      </c>
    </row>
    <row r="23" spans="3:11" ht="15" customHeight="1" x14ac:dyDescent="0.25">
      <c r="C23" s="7"/>
      <c r="D23" s="151"/>
      <c r="E23" s="106"/>
      <c r="F23" s="151"/>
      <c r="G23" s="106"/>
      <c r="H23" s="106"/>
      <c r="I23" s="106"/>
      <c r="J23" s="151"/>
      <c r="K23" s="304"/>
    </row>
    <row r="24" spans="3:11" ht="15" customHeight="1" x14ac:dyDescent="0.25">
      <c r="C24" s="7"/>
      <c r="D24" s="7"/>
      <c r="E24" s="7"/>
      <c r="F24" s="106"/>
      <c r="G24" s="106"/>
      <c r="H24" s="7"/>
      <c r="I24" s="7"/>
      <c r="J24" s="7"/>
      <c r="K24" s="7"/>
    </row>
    <row r="25" spans="3:11" ht="15" customHeight="1" x14ac:dyDescent="0.35">
      <c r="C25" s="985" t="s">
        <v>219</v>
      </c>
      <c r="D25" s="985"/>
      <c r="E25" s="290"/>
      <c r="F25" s="175"/>
      <c r="G25" s="175"/>
      <c r="H25" s="290"/>
      <c r="I25" s="290"/>
      <c r="J25" s="290"/>
      <c r="K25" s="290"/>
    </row>
    <row r="26" spans="3:11" ht="36" customHeight="1" x14ac:dyDescent="0.3">
      <c r="C26" s="297" t="s">
        <v>80</v>
      </c>
      <c r="D26" s="298" t="s">
        <v>208</v>
      </c>
      <c r="E26" s="298" t="s">
        <v>209</v>
      </c>
      <c r="F26" s="298" t="s">
        <v>210</v>
      </c>
      <c r="G26" s="298" t="s">
        <v>220</v>
      </c>
      <c r="H26" s="299" t="s">
        <v>221</v>
      </c>
      <c r="I26" s="299" t="s">
        <v>213</v>
      </c>
      <c r="J26" s="299" t="s">
        <v>214</v>
      </c>
      <c r="K26" s="300" t="s">
        <v>215</v>
      </c>
    </row>
    <row r="27" spans="3:11" ht="15" customHeight="1" x14ac:dyDescent="0.3">
      <c r="C27" s="301" t="s">
        <v>216</v>
      </c>
      <c r="D27" s="302">
        <f>'Anexo IV - ano 1 a 10 - inicial'!D63</f>
        <v>28822.940926896415</v>
      </c>
      <c r="E27" s="343">
        <v>2</v>
      </c>
      <c r="F27" s="302">
        <f>D27*E27</f>
        <v>57645.881853792831</v>
      </c>
      <c r="G27" s="117">
        <v>12</v>
      </c>
      <c r="H27" s="117">
        <v>30</v>
      </c>
      <c r="I27" s="308">
        <f>F27*G27*H27/1000</f>
        <v>20752.517467365422</v>
      </c>
      <c r="J27" s="308">
        <f>I27*12</f>
        <v>249030.20960838505</v>
      </c>
      <c r="K27" s="303">
        <f>J27*$F$13</f>
        <v>298213.67600604112</v>
      </c>
    </row>
    <row r="28" spans="3:11" ht="15" customHeight="1" x14ac:dyDescent="0.3">
      <c r="C28" s="301" t="s">
        <v>217</v>
      </c>
      <c r="D28" s="302">
        <f>'Anexo IV - ano 11 a 15'!D38</f>
        <v>35428.804263788312</v>
      </c>
      <c r="E28" s="343">
        <v>2</v>
      </c>
      <c r="F28" s="302">
        <f>D28*E28</f>
        <v>70857.608527576624</v>
      </c>
      <c r="G28" s="117">
        <v>12</v>
      </c>
      <c r="H28" s="117">
        <v>30</v>
      </c>
      <c r="I28" s="308">
        <f>F28*G28*H28/1000</f>
        <v>25508.739069927589</v>
      </c>
      <c r="J28" s="308">
        <f>I28*12</f>
        <v>306104.86883913109</v>
      </c>
      <c r="K28" s="303">
        <f>J28*$F$13</f>
        <v>366560.5804348595</v>
      </c>
    </row>
    <row r="29" spans="3:11" ht="15" customHeight="1" x14ac:dyDescent="0.3">
      <c r="C29" s="301" t="s">
        <v>218</v>
      </c>
      <c r="D29" s="302">
        <f>'Anexo IV - ano 16 a 25'!D38</f>
        <v>41523.463815748917</v>
      </c>
      <c r="E29" s="343">
        <v>2</v>
      </c>
      <c r="F29" s="302">
        <f>D29*E29</f>
        <v>83046.927631497834</v>
      </c>
      <c r="G29" s="117">
        <v>12</v>
      </c>
      <c r="H29" s="117">
        <v>30</v>
      </c>
      <c r="I29" s="308">
        <f>F29*G29*H29/1000</f>
        <v>29896.893947339217</v>
      </c>
      <c r="J29" s="308">
        <f>I29*12</f>
        <v>358762.72736807063</v>
      </c>
      <c r="K29" s="303">
        <f>J29*$F$13</f>
        <v>429618.36602326459</v>
      </c>
    </row>
    <row r="30" spans="3:11" ht="15" customHeight="1" x14ac:dyDescent="0.25">
      <c r="C30" s="7"/>
      <c r="D30" s="151"/>
      <c r="E30" s="106"/>
      <c r="F30" s="151"/>
      <c r="G30" s="106"/>
      <c r="H30" s="106"/>
      <c r="I30" s="305"/>
      <c r="J30" s="151"/>
      <c r="K30" s="304"/>
    </row>
    <row r="31" spans="3:11" ht="15" customHeight="1" x14ac:dyDescent="0.25">
      <c r="C31" s="7"/>
      <c r="D31" s="151"/>
      <c r="E31" s="106"/>
      <c r="F31" s="151"/>
      <c r="G31" s="106"/>
      <c r="H31" s="106"/>
      <c r="I31" s="305"/>
      <c r="J31" s="151"/>
      <c r="K31" s="304"/>
    </row>
    <row r="32" spans="3:11" ht="15" customHeight="1" x14ac:dyDescent="0.35">
      <c r="C32" s="985" t="s">
        <v>222</v>
      </c>
      <c r="D32" s="985"/>
      <c r="E32" s="175"/>
      <c r="F32" s="175"/>
      <c r="G32" s="175"/>
      <c r="H32" s="290"/>
      <c r="I32" s="290"/>
      <c r="J32" s="290"/>
      <c r="K32" s="290"/>
    </row>
    <row r="33" spans="2:11" ht="30" customHeight="1" x14ac:dyDescent="0.3">
      <c r="B33" s="7"/>
      <c r="C33" s="297" t="s">
        <v>80</v>
      </c>
      <c r="D33" s="298" t="s">
        <v>208</v>
      </c>
      <c r="E33" s="298" t="s">
        <v>209</v>
      </c>
      <c r="F33" s="298" t="s">
        <v>210</v>
      </c>
      <c r="G33" s="298" t="s">
        <v>220</v>
      </c>
      <c r="H33" s="299" t="s">
        <v>221</v>
      </c>
      <c r="I33" s="299" t="s">
        <v>213</v>
      </c>
      <c r="J33" s="299" t="s">
        <v>214</v>
      </c>
      <c r="K33" s="300" t="s">
        <v>215</v>
      </c>
    </row>
    <row r="34" spans="2:11" ht="15" customHeight="1" x14ac:dyDescent="0.3">
      <c r="B34" s="7"/>
      <c r="C34" s="301" t="s">
        <v>216</v>
      </c>
      <c r="D34" s="302">
        <f>'Anexo IV - ano 1 a 10 - inicial'!C53</f>
        <v>5360.4055761729142</v>
      </c>
      <c r="E34" s="343">
        <v>2</v>
      </c>
      <c r="F34" s="302">
        <f>D34*E34</f>
        <v>10720.811152345828</v>
      </c>
      <c r="G34" s="117">
        <v>12</v>
      </c>
      <c r="H34" s="117">
        <v>30</v>
      </c>
      <c r="I34" s="308">
        <f>F34*G34*H34/1000</f>
        <v>3859.492014844498</v>
      </c>
      <c r="J34" s="308">
        <f>I34*12</f>
        <v>46313.904178133977</v>
      </c>
      <c r="K34" s="303">
        <f>J34*$F$13</f>
        <v>55460.900253315434</v>
      </c>
    </row>
    <row r="35" spans="2:11" ht="15" customHeight="1" x14ac:dyDescent="0.3">
      <c r="B35" s="7"/>
      <c r="C35" s="301" t="s">
        <v>217</v>
      </c>
      <c r="D35" s="302">
        <f>'Anexo IV - ano 11 a 15'!C27</f>
        <v>7187.9395241358743</v>
      </c>
      <c r="E35" s="343">
        <v>2</v>
      </c>
      <c r="F35" s="302">
        <f>D35*E35</f>
        <v>14375.879048271749</v>
      </c>
      <c r="G35" s="117">
        <v>12</v>
      </c>
      <c r="H35" s="117">
        <v>30</v>
      </c>
      <c r="I35" s="308">
        <f>F35*G35*H35/1000</f>
        <v>5175.3164573778295</v>
      </c>
      <c r="J35" s="308">
        <f>I35*12</f>
        <v>62103.79748853395</v>
      </c>
      <c r="K35" s="303">
        <f>J35*$F$13</f>
        <v>74369.297492519399</v>
      </c>
    </row>
    <row r="36" spans="2:11" ht="15" customHeight="1" x14ac:dyDescent="0.3">
      <c r="B36" s="7"/>
      <c r="C36" s="301" t="s">
        <v>218</v>
      </c>
      <c r="D36" s="302">
        <f>'Anexo IV - ano 16 a 25'!C27</f>
        <v>8424.4487767065548</v>
      </c>
      <c r="E36" s="343">
        <v>2</v>
      </c>
      <c r="F36" s="302">
        <f>D36*E36</f>
        <v>16848.89755341311</v>
      </c>
      <c r="G36" s="117">
        <v>12</v>
      </c>
      <c r="H36" s="117">
        <v>30</v>
      </c>
      <c r="I36" s="308">
        <f>F36*G36*H36/1000</f>
        <v>6065.6031192287201</v>
      </c>
      <c r="J36" s="308">
        <f>I36*12</f>
        <v>72787.237430744644</v>
      </c>
      <c r="K36" s="303">
        <f>J36*$F$13</f>
        <v>87162.716823316718</v>
      </c>
    </row>
    <row r="37" spans="2:11" ht="15" customHeight="1" x14ac:dyDescent="0.25">
      <c r="B37" s="7"/>
      <c r="C37" s="7"/>
      <c r="D37" s="151"/>
      <c r="E37" s="106"/>
      <c r="F37" s="151"/>
      <c r="G37" s="106"/>
      <c r="H37" s="106"/>
      <c r="I37" s="305"/>
      <c r="J37" s="151"/>
      <c r="K37" s="304"/>
    </row>
    <row r="38" spans="2:11" ht="15" customHeight="1" x14ac:dyDescent="0.25">
      <c r="B38" s="7"/>
      <c r="C38" s="7"/>
      <c r="D38" s="151"/>
      <c r="E38" s="106"/>
      <c r="F38" s="151"/>
      <c r="G38" s="106"/>
      <c r="H38" s="106"/>
      <c r="I38" s="305"/>
      <c r="J38" s="151"/>
      <c r="K38" s="304"/>
    </row>
    <row r="39" spans="2:11" ht="15" customHeight="1" x14ac:dyDescent="0.35">
      <c r="B39" s="7"/>
      <c r="C39" s="986" t="s">
        <v>223</v>
      </c>
      <c r="D39" s="986"/>
      <c r="E39" s="290"/>
      <c r="F39" s="290"/>
      <c r="G39" s="290"/>
      <c r="H39" s="7"/>
      <c r="I39" s="7"/>
      <c r="J39" s="7"/>
      <c r="K39" s="7"/>
    </row>
    <row r="40" spans="2:11" ht="15" customHeight="1" x14ac:dyDescent="0.3">
      <c r="B40" s="7"/>
      <c r="C40" s="306" t="s">
        <v>80</v>
      </c>
      <c r="D40" s="307" t="s">
        <v>224</v>
      </c>
      <c r="E40" s="307" t="s">
        <v>225</v>
      </c>
      <c r="F40" s="307" t="s">
        <v>226</v>
      </c>
      <c r="G40" s="307" t="s">
        <v>227</v>
      </c>
      <c r="H40" s="7"/>
      <c r="I40" s="7"/>
      <c r="J40" s="7"/>
      <c r="K40" s="7"/>
    </row>
    <row r="41" spans="2:11" ht="15" customHeight="1" x14ac:dyDescent="0.3">
      <c r="B41" s="7"/>
      <c r="C41" s="301" t="s">
        <v>216</v>
      </c>
      <c r="D41" s="308">
        <f>K20</f>
        <v>38913.376218749996</v>
      </c>
      <c r="E41" s="308">
        <f>K27</f>
        <v>298213.67600604112</v>
      </c>
      <c r="F41" s="308">
        <f>K34</f>
        <v>55460.900253315434</v>
      </c>
      <c r="G41" s="303">
        <f>SUM(D41:F41)</f>
        <v>392587.9524781066</v>
      </c>
      <c r="H41" s="7"/>
      <c r="I41" s="7"/>
      <c r="J41" s="7"/>
      <c r="K41" s="7"/>
    </row>
    <row r="42" spans="2:11" ht="15" customHeight="1" x14ac:dyDescent="0.3">
      <c r="B42" s="7"/>
      <c r="C42" s="301" t="s">
        <v>217</v>
      </c>
      <c r="D42" s="308">
        <f>K21</f>
        <v>45613.074375000004</v>
      </c>
      <c r="E42" s="308">
        <f>K28</f>
        <v>366560.5804348595</v>
      </c>
      <c r="F42" s="308">
        <f>K35</f>
        <v>74369.297492519399</v>
      </c>
      <c r="G42" s="303">
        <f>SUM(D42:F42)</f>
        <v>486542.95230237895</v>
      </c>
      <c r="H42" s="7"/>
      <c r="I42" s="7"/>
      <c r="J42" s="7"/>
      <c r="K42" s="7"/>
    </row>
    <row r="43" spans="2:11" ht="15" customHeight="1" x14ac:dyDescent="0.3">
      <c r="B43" s="7"/>
      <c r="C43" s="301" t="s">
        <v>218</v>
      </c>
      <c r="D43" s="308">
        <f>K22</f>
        <v>45968.731874999998</v>
      </c>
      <c r="E43" s="308">
        <f>K29</f>
        <v>429618.36602326459</v>
      </c>
      <c r="F43" s="308">
        <f>K36</f>
        <v>87162.716823316718</v>
      </c>
      <c r="G43" s="303">
        <f>SUM(D43:F43)</f>
        <v>562749.81472158129</v>
      </c>
      <c r="H43" s="7"/>
      <c r="I43" s="7"/>
      <c r="J43" s="7"/>
      <c r="K43" s="7"/>
    </row>
    <row r="44" spans="2:11" ht="15" customHeight="1" x14ac:dyDescent="0.25">
      <c r="B44" s="7"/>
      <c r="C44" s="7"/>
      <c r="D44" s="309"/>
      <c r="E44" s="304"/>
      <c r="F44" s="309"/>
      <c r="G44" s="7"/>
      <c r="H44" s="7"/>
      <c r="I44" s="7"/>
      <c r="J44" s="7"/>
      <c r="K44" s="7"/>
    </row>
    <row r="45" spans="2:11" ht="15" customHeight="1" x14ac:dyDescent="0.25">
      <c r="B45" s="7"/>
      <c r="C45" s="7"/>
      <c r="D45" s="309"/>
      <c r="E45" s="304"/>
      <c r="F45" s="309"/>
      <c r="G45" s="7"/>
      <c r="H45" s="7"/>
      <c r="I45" s="7"/>
      <c r="J45" s="7"/>
      <c r="K45" s="7"/>
    </row>
    <row r="46" spans="2:11" ht="15" customHeight="1" x14ac:dyDescent="0.25">
      <c r="B46" s="7"/>
      <c r="C46" s="7"/>
      <c r="D46" s="309"/>
      <c r="E46" s="304"/>
      <c r="F46" s="309"/>
      <c r="G46" s="7"/>
      <c r="H46" s="7"/>
      <c r="I46" s="7"/>
      <c r="J46" s="7"/>
      <c r="K46" s="7"/>
    </row>
    <row r="47" spans="2:11" ht="15" customHeight="1" x14ac:dyDescent="0.35">
      <c r="B47" s="310">
        <v>2</v>
      </c>
      <c r="C47" s="984" t="s">
        <v>228</v>
      </c>
      <c r="D47" s="984"/>
      <c r="E47" s="290"/>
      <c r="F47" s="290"/>
      <c r="G47" s="290"/>
      <c r="H47" s="290"/>
      <c r="I47" s="290"/>
      <c r="J47" s="290"/>
      <c r="K47" s="7"/>
    </row>
    <row r="48" spans="2:11" ht="15" customHeight="1" x14ac:dyDescent="0.3">
      <c r="B48" s="7"/>
      <c r="C48" s="297" t="s">
        <v>80</v>
      </c>
      <c r="D48" s="298" t="s">
        <v>229</v>
      </c>
      <c r="E48" s="298" t="s">
        <v>230</v>
      </c>
      <c r="F48" s="298" t="s">
        <v>231</v>
      </c>
      <c r="G48" s="298" t="s">
        <v>232</v>
      </c>
      <c r="H48" s="299" t="s">
        <v>233</v>
      </c>
      <c r="I48" s="299" t="s">
        <v>234</v>
      </c>
      <c r="J48" s="299" t="s">
        <v>215</v>
      </c>
      <c r="K48" s="7"/>
    </row>
    <row r="49" spans="2:14" ht="15" customHeight="1" x14ac:dyDescent="0.3">
      <c r="B49" s="7"/>
      <c r="C49" s="301" t="s">
        <v>216</v>
      </c>
      <c r="D49" s="143">
        <f>'Anexo V - ano 1 a 10 - inicial'!D107+1+'Anexo V - ano 1 a 10 - inicial'!D121</f>
        <v>13</v>
      </c>
      <c r="E49" s="117">
        <v>400</v>
      </c>
      <c r="F49" s="117">
        <v>9</v>
      </c>
      <c r="G49" s="117">
        <v>22</v>
      </c>
      <c r="H49" s="302">
        <f>D49*E49*F49*G49/1000</f>
        <v>1029.5999999999999</v>
      </c>
      <c r="I49" s="302">
        <f>H49*12</f>
        <v>12355.199999999999</v>
      </c>
      <c r="J49" s="303">
        <f>I49*$F$13</f>
        <v>14795.351999999999</v>
      </c>
      <c r="K49" s="7"/>
      <c r="L49" s="7"/>
      <c r="M49" s="7"/>
      <c r="N49" s="7"/>
    </row>
    <row r="50" spans="2:14" ht="15" customHeight="1" x14ac:dyDescent="0.3">
      <c r="B50" s="7"/>
      <c r="C50" s="301" t="s">
        <v>217</v>
      </c>
      <c r="D50" s="143">
        <f>'Anexo V - ano 11 a 15'!E107+1+'Anexo V - ano 11 a 15'!E120</f>
        <v>16</v>
      </c>
      <c r="E50" s="117">
        <v>400</v>
      </c>
      <c r="F50" s="117">
        <v>9</v>
      </c>
      <c r="G50" s="117">
        <v>22</v>
      </c>
      <c r="H50" s="302">
        <f>D50*E50*F50*G50/1000</f>
        <v>1267.2</v>
      </c>
      <c r="I50" s="302">
        <f>H50*12</f>
        <v>15206.400000000001</v>
      </c>
      <c r="J50" s="303">
        <f>I50*$F$13</f>
        <v>18209.664000000001</v>
      </c>
      <c r="K50" s="7"/>
      <c r="L50" s="7"/>
      <c r="M50" s="7"/>
      <c r="N50" s="7"/>
    </row>
    <row r="51" spans="2:14" ht="15" customHeight="1" x14ac:dyDescent="0.3">
      <c r="B51" s="7"/>
      <c r="C51" s="301" t="s">
        <v>218</v>
      </c>
      <c r="D51" s="143">
        <f>'Anexo V - ano 16 a 25'!E107+1+'Anexo V - ano 16 a 25'!F120</f>
        <v>6</v>
      </c>
      <c r="E51" s="117">
        <v>400</v>
      </c>
      <c r="F51" s="117">
        <v>9</v>
      </c>
      <c r="G51" s="117">
        <v>22</v>
      </c>
      <c r="H51" s="302">
        <f>D51*E51*F51*G51/1000</f>
        <v>475.2</v>
      </c>
      <c r="I51" s="302">
        <f>H51*12</f>
        <v>5702.4</v>
      </c>
      <c r="J51" s="303">
        <f>I51*$F$13</f>
        <v>6828.6239999999998</v>
      </c>
      <c r="K51" s="7"/>
      <c r="L51" s="7"/>
      <c r="M51" s="7"/>
      <c r="N51" s="7"/>
    </row>
    <row r="52" spans="2:14" ht="15" customHeight="1" x14ac:dyDescent="0.25">
      <c r="B52" s="7"/>
      <c r="C52" s="7"/>
      <c r="D52" s="7"/>
      <c r="E52" s="7"/>
      <c r="F52" s="7"/>
      <c r="G52" s="7"/>
      <c r="H52" s="7"/>
      <c r="I52" s="7"/>
      <c r="J52" s="7"/>
      <c r="K52" s="7"/>
      <c r="L52" s="7"/>
      <c r="M52" s="7"/>
      <c r="N52" s="7"/>
    </row>
    <row r="53" spans="2:14" ht="15" customHeight="1" x14ac:dyDescent="0.25">
      <c r="B53" s="7"/>
      <c r="C53" s="7"/>
      <c r="D53" s="7"/>
      <c r="E53" s="7"/>
      <c r="F53" s="7"/>
      <c r="G53" s="7"/>
      <c r="H53" s="7"/>
      <c r="I53" s="7"/>
      <c r="J53" s="7"/>
      <c r="K53" s="7"/>
      <c r="L53" s="7"/>
      <c r="M53" s="7"/>
      <c r="N53" s="7"/>
    </row>
    <row r="54" spans="2:14" ht="15" customHeight="1" x14ac:dyDescent="0.25">
      <c r="B54" s="7"/>
      <c r="C54" s="7"/>
      <c r="D54" s="7"/>
      <c r="E54" s="7"/>
      <c r="F54" s="7"/>
      <c r="G54" s="7"/>
      <c r="H54" s="7"/>
      <c r="I54" s="7"/>
      <c r="J54" s="7"/>
      <c r="K54" s="7"/>
      <c r="L54" s="7"/>
      <c r="M54" s="7"/>
      <c r="N54" s="7"/>
    </row>
    <row r="55" spans="2:14" ht="15" customHeight="1" x14ac:dyDescent="0.35">
      <c r="B55" s="310">
        <v>3</v>
      </c>
      <c r="C55" s="984" t="s">
        <v>235</v>
      </c>
      <c r="D55" s="984"/>
      <c r="E55" s="290"/>
      <c r="F55" s="290"/>
      <c r="G55" s="290"/>
      <c r="H55" s="290"/>
      <c r="I55" s="290"/>
      <c r="J55" s="290"/>
      <c r="K55" s="7"/>
      <c r="L55" s="7"/>
      <c r="M55" s="7"/>
      <c r="N55" s="7"/>
    </row>
    <row r="56" spans="2:14" ht="29.25" customHeight="1" x14ac:dyDescent="0.3">
      <c r="B56" s="7"/>
      <c r="C56" s="297" t="s">
        <v>80</v>
      </c>
      <c r="D56" s="298" t="s">
        <v>236</v>
      </c>
      <c r="E56" s="298" t="s">
        <v>237</v>
      </c>
      <c r="F56" s="298" t="s">
        <v>238</v>
      </c>
      <c r="G56" s="298" t="s">
        <v>239</v>
      </c>
      <c r="H56" s="299" t="s">
        <v>240</v>
      </c>
      <c r="I56" s="299" t="s">
        <v>241</v>
      </c>
      <c r="J56" s="299" t="s">
        <v>215</v>
      </c>
      <c r="K56" s="7"/>
      <c r="L56" s="7"/>
      <c r="M56" s="7"/>
      <c r="N56" s="7"/>
    </row>
    <row r="57" spans="2:14" ht="15" customHeight="1" x14ac:dyDescent="0.3">
      <c r="B57" s="7"/>
      <c r="C57" s="301" t="s">
        <v>216</v>
      </c>
      <c r="D57" s="302">
        <f>'Anexo IV - ano 1 a 10 - inicial'!D70-'Anexo IV - ano 11 a 15'!D42</f>
        <v>2088.25</v>
      </c>
      <c r="E57" s="302">
        <f>D57*1000</f>
        <v>2088250</v>
      </c>
      <c r="F57" s="308">
        <f>E57/10000</f>
        <v>208.82499999999999</v>
      </c>
      <c r="G57" s="117">
        <v>9</v>
      </c>
      <c r="H57" s="117">
        <v>22</v>
      </c>
      <c r="I57" s="308">
        <f>F57*G57*H57*12</f>
        <v>496168.19999999995</v>
      </c>
      <c r="J57" s="303">
        <f>I57*$F$13</f>
        <v>594161.41949999996</v>
      </c>
      <c r="K57" s="7"/>
      <c r="L57" s="7"/>
      <c r="M57" s="7"/>
      <c r="N57" s="7"/>
    </row>
    <row r="58" spans="2:14" ht="15" customHeight="1" x14ac:dyDescent="0.3">
      <c r="B58" s="7"/>
      <c r="C58" s="301" t="s">
        <v>217</v>
      </c>
      <c r="D58" s="302">
        <f>'Anexo IV - ano 11 a 15'!D46-'Anexo IV - ano 11 a 15'!D42</f>
        <v>2465</v>
      </c>
      <c r="E58" s="302">
        <f>D58*1000</f>
        <v>2465000</v>
      </c>
      <c r="F58" s="308">
        <f>E58/10000</f>
        <v>246.5</v>
      </c>
      <c r="G58" s="117">
        <v>9</v>
      </c>
      <c r="H58" s="117">
        <v>22</v>
      </c>
      <c r="I58" s="308">
        <f>F58*G58*H58*12</f>
        <v>585684</v>
      </c>
      <c r="J58" s="303">
        <f>I58*$F$13</f>
        <v>701356.59</v>
      </c>
      <c r="K58" s="7"/>
      <c r="L58" s="7"/>
      <c r="M58" s="7"/>
      <c r="N58" s="7"/>
    </row>
    <row r="59" spans="2:14" ht="15" customHeight="1" x14ac:dyDescent="0.3">
      <c r="B59" s="7"/>
      <c r="C59" s="301" t="s">
        <v>218</v>
      </c>
      <c r="D59" s="302">
        <f>'Anexo IV - ano 16 a 25'!D46-'Anexo IV - ano 16 a 25'!D42</f>
        <v>2485</v>
      </c>
      <c r="E59" s="302">
        <f>D59*1000</f>
        <v>2485000</v>
      </c>
      <c r="F59" s="308">
        <f>E59/10000</f>
        <v>248.5</v>
      </c>
      <c r="G59" s="117">
        <v>9</v>
      </c>
      <c r="H59" s="117">
        <v>22</v>
      </c>
      <c r="I59" s="308">
        <f>F59*G59*H59*12</f>
        <v>590436</v>
      </c>
      <c r="J59" s="303">
        <f>I59*$F$13</f>
        <v>707047.11</v>
      </c>
      <c r="K59" s="7"/>
      <c r="L59" s="7"/>
      <c r="M59" s="7"/>
      <c r="N59" s="7"/>
    </row>
    <row r="60" spans="2:14" ht="15" customHeight="1" x14ac:dyDescent="0.25">
      <c r="B60" s="7"/>
      <c r="C60" s="7"/>
      <c r="D60" s="7"/>
      <c r="E60" s="7"/>
      <c r="F60" s="7"/>
      <c r="G60" s="7"/>
      <c r="H60" s="7"/>
      <c r="I60" s="7"/>
      <c r="J60" s="7"/>
      <c r="K60" s="7"/>
      <c r="L60" s="7"/>
      <c r="M60" s="7"/>
      <c r="N60" s="7"/>
    </row>
    <row r="61" spans="2:14" ht="15" customHeight="1" x14ac:dyDescent="0.25">
      <c r="B61" s="7"/>
      <c r="C61" s="7"/>
      <c r="D61" s="7"/>
      <c r="E61" s="7"/>
      <c r="F61" s="7"/>
      <c r="G61" s="7"/>
      <c r="H61" s="7"/>
      <c r="I61" s="7"/>
      <c r="J61" s="7"/>
      <c r="K61" s="7"/>
      <c r="L61" s="7"/>
      <c r="M61" s="7"/>
      <c r="N61" s="7"/>
    </row>
    <row r="62" spans="2:14" ht="15" customHeight="1" thickBot="1" x14ac:dyDescent="0.3">
      <c r="B62" s="7"/>
      <c r="C62" s="7"/>
      <c r="D62" s="7"/>
      <c r="E62" s="7"/>
      <c r="F62" s="7"/>
      <c r="G62" s="7"/>
      <c r="H62" s="7"/>
      <c r="I62" s="7"/>
      <c r="J62" s="7"/>
      <c r="K62" s="7"/>
      <c r="L62" s="7"/>
      <c r="M62" s="7"/>
      <c r="N62" s="7"/>
    </row>
    <row r="63" spans="2:14" ht="51.75" customHeight="1" thickBot="1" x14ac:dyDescent="0.4">
      <c r="B63" s="310">
        <v>4</v>
      </c>
      <c r="C63" s="982" t="s">
        <v>242</v>
      </c>
      <c r="D63" s="983"/>
      <c r="E63" s="983"/>
      <c r="F63" s="983"/>
      <c r="G63" s="983"/>
      <c r="H63" s="983"/>
      <c r="I63" s="978" t="s">
        <v>243</v>
      </c>
      <c r="J63" s="979"/>
      <c r="K63" s="980"/>
      <c r="L63" s="980"/>
      <c r="M63" s="981"/>
      <c r="N63" s="786" t="s">
        <v>244</v>
      </c>
    </row>
    <row r="64" spans="2:14" ht="65.25" customHeight="1" x14ac:dyDescent="0.3">
      <c r="B64" s="7"/>
      <c r="C64" s="297" t="s">
        <v>80</v>
      </c>
      <c r="D64" s="298" t="s">
        <v>245</v>
      </c>
      <c r="E64" s="298" t="s">
        <v>246</v>
      </c>
      <c r="F64" s="298" t="s">
        <v>247</v>
      </c>
      <c r="G64" s="298" t="s">
        <v>248</v>
      </c>
      <c r="H64" s="785" t="s">
        <v>249</v>
      </c>
      <c r="I64" s="784" t="s">
        <v>250</v>
      </c>
      <c r="J64" s="784" t="s">
        <v>251</v>
      </c>
      <c r="K64" s="784" t="s">
        <v>252</v>
      </c>
      <c r="L64" s="784" t="s">
        <v>253</v>
      </c>
      <c r="M64" s="784" t="s">
        <v>249</v>
      </c>
      <c r="N64" s="787" t="s">
        <v>254</v>
      </c>
    </row>
    <row r="65" spans="2:14" ht="15" customHeight="1" x14ac:dyDescent="0.3">
      <c r="B65" s="7"/>
      <c r="C65" s="301" t="s">
        <v>216</v>
      </c>
      <c r="D65" s="117">
        <f>'Anexo V - ano 1 a 10 - inicial'!D20</f>
        <v>6</v>
      </c>
      <c r="E65" s="117">
        <v>5</v>
      </c>
      <c r="F65" s="117">
        <v>0</v>
      </c>
      <c r="G65" s="302">
        <f>D65*E65*(F65/100)*24*30</f>
        <v>0</v>
      </c>
      <c r="H65" s="303">
        <f>(G65)*12</f>
        <v>0</v>
      </c>
      <c r="I65" s="117">
        <v>271</v>
      </c>
      <c r="J65" s="117">
        <v>0.19070503699999999</v>
      </c>
      <c r="K65" s="117">
        <v>0</v>
      </c>
      <c r="L65" s="783">
        <f>(I65*J65*(K65/100)*24*30)</f>
        <v>0</v>
      </c>
      <c r="M65" s="303">
        <f>L65*12</f>
        <v>0</v>
      </c>
      <c r="N65" s="788">
        <f>(H65+M65)*$F$13</f>
        <v>0</v>
      </c>
    </row>
    <row r="66" spans="2:14" ht="15" customHeight="1" x14ac:dyDescent="0.3">
      <c r="B66" s="7"/>
      <c r="C66" s="301" t="s">
        <v>217</v>
      </c>
      <c r="D66" s="117">
        <f>'Anexo V - ano 11 a 15'!E20</f>
        <v>6</v>
      </c>
      <c r="E66" s="117">
        <v>5</v>
      </c>
      <c r="F66" s="117">
        <v>0</v>
      </c>
      <c r="G66" s="302">
        <f>D66*E66*(F66/100)*24*30</f>
        <v>0</v>
      </c>
      <c r="H66" s="303">
        <f>(G66)*12</f>
        <v>0</v>
      </c>
      <c r="I66" s="117">
        <v>294</v>
      </c>
      <c r="J66" s="117">
        <v>0.19070503699999999</v>
      </c>
      <c r="K66" s="117">
        <v>0</v>
      </c>
      <c r="L66" s="783">
        <f t="shared" ref="L66:L67" si="0">(I66*J66*(K66/100)*24*30)</f>
        <v>0</v>
      </c>
      <c r="M66" s="303">
        <f t="shared" ref="M66:M67" si="1">L66*12</f>
        <v>0</v>
      </c>
      <c r="N66" s="788">
        <f>(H66+M66)*$F$13</f>
        <v>0</v>
      </c>
    </row>
    <row r="67" spans="2:14" ht="15" customHeight="1" thickBot="1" x14ac:dyDescent="0.35">
      <c r="B67" s="7"/>
      <c r="C67" s="301" t="s">
        <v>218</v>
      </c>
      <c r="D67" s="117">
        <f>'Anexo V - ano 16 a 25'!E21</f>
        <v>2</v>
      </c>
      <c r="E67" s="117">
        <v>5</v>
      </c>
      <c r="F67" s="117">
        <v>0</v>
      </c>
      <c r="G67" s="302">
        <f>D67*E67*(F67/100)*24*30</f>
        <v>0</v>
      </c>
      <c r="H67" s="303">
        <f>(G67)*12</f>
        <v>0</v>
      </c>
      <c r="I67" s="117">
        <v>344</v>
      </c>
      <c r="J67" s="117">
        <v>0.19070503699999999</v>
      </c>
      <c r="K67" s="117">
        <v>0</v>
      </c>
      <c r="L67" s="783">
        <f t="shared" si="0"/>
        <v>0</v>
      </c>
      <c r="M67" s="303">
        <f t="shared" si="1"/>
        <v>0</v>
      </c>
      <c r="N67" s="789">
        <f>(H67+M67)*$F$13</f>
        <v>0</v>
      </c>
    </row>
    <row r="68" spans="2:14" ht="15" customHeight="1" x14ac:dyDescent="0.25">
      <c r="B68" s="7"/>
      <c r="C68" s="7"/>
      <c r="D68" s="7"/>
      <c r="E68" s="7"/>
      <c r="F68" s="7"/>
      <c r="G68" s="7"/>
      <c r="H68" s="7"/>
      <c r="I68" s="7"/>
      <c r="J68" s="7"/>
      <c r="K68" s="7"/>
      <c r="L68" s="7"/>
      <c r="M68" s="7"/>
      <c r="N68" s="7"/>
    </row>
    <row r="69" spans="2:14" ht="15" customHeight="1" x14ac:dyDescent="0.25">
      <c r="B69" s="7"/>
      <c r="C69" s="7"/>
      <c r="D69" s="7"/>
      <c r="E69" s="7"/>
      <c r="F69" s="7"/>
      <c r="G69" s="7"/>
      <c r="H69" s="7"/>
      <c r="I69" s="7"/>
      <c r="J69" s="7"/>
      <c r="K69" s="7"/>
      <c r="L69" s="7"/>
      <c r="M69" s="7"/>
      <c r="N69" s="7"/>
    </row>
    <row r="70" spans="2:14" ht="15" customHeight="1" x14ac:dyDescent="0.25">
      <c r="B70" s="7"/>
      <c r="C70" s="7"/>
      <c r="D70" s="7"/>
      <c r="E70" s="7"/>
      <c r="F70" s="7"/>
      <c r="G70" s="7"/>
      <c r="H70" s="7"/>
      <c r="I70" s="7"/>
      <c r="J70" s="7"/>
      <c r="K70" s="7"/>
      <c r="L70" s="7"/>
      <c r="M70" s="7"/>
      <c r="N70" s="7"/>
    </row>
    <row r="71" spans="2:14" ht="15" customHeight="1" thickBot="1" x14ac:dyDescent="0.4">
      <c r="B71" s="7"/>
      <c r="C71" s="984" t="s">
        <v>255</v>
      </c>
      <c r="D71" s="984"/>
      <c r="E71" s="984"/>
      <c r="F71" s="290"/>
      <c r="G71" s="290"/>
      <c r="H71" s="290"/>
      <c r="I71" s="290"/>
      <c r="J71" s="290"/>
      <c r="K71" s="7"/>
      <c r="L71" s="7"/>
      <c r="M71" s="7"/>
      <c r="N71" s="7"/>
    </row>
    <row r="72" spans="2:14" ht="15" customHeight="1" x14ac:dyDescent="0.3">
      <c r="B72" s="7"/>
      <c r="C72" s="307" t="s">
        <v>80</v>
      </c>
      <c r="D72" s="307" t="s">
        <v>206</v>
      </c>
      <c r="E72" s="307" t="s">
        <v>256</v>
      </c>
      <c r="F72" s="307" t="s">
        <v>257</v>
      </c>
      <c r="G72" s="298" t="s">
        <v>258</v>
      </c>
      <c r="H72" s="307" t="s">
        <v>259</v>
      </c>
      <c r="I72" s="307" t="s">
        <v>260</v>
      </c>
      <c r="J72" s="307" t="s">
        <v>227</v>
      </c>
      <c r="K72" s="7"/>
      <c r="L72" s="7"/>
      <c r="M72" s="7"/>
      <c r="N72" s="7"/>
    </row>
    <row r="73" spans="2:14" ht="15" customHeight="1" x14ac:dyDescent="0.3">
      <c r="B73" s="7"/>
      <c r="C73" s="301" t="s">
        <v>216</v>
      </c>
      <c r="D73" s="308">
        <f>G41</f>
        <v>392587.9524781066</v>
      </c>
      <c r="E73" s="308">
        <f>J49</f>
        <v>14795.351999999999</v>
      </c>
      <c r="F73" s="308">
        <f>J57</f>
        <v>594161.41949999996</v>
      </c>
      <c r="G73" s="308">
        <f>N65</f>
        <v>0</v>
      </c>
      <c r="H73" s="308">
        <f>SUM(D73:G73)</f>
        <v>1001544.7239781066</v>
      </c>
      <c r="I73" s="308">
        <f>(D73+E73+F73)*0.05</f>
        <v>50077.236198905332</v>
      </c>
      <c r="J73" s="311">
        <f>H73+I73</f>
        <v>1051621.960177012</v>
      </c>
      <c r="K73" s="7"/>
      <c r="L73" s="7"/>
      <c r="M73" s="7"/>
      <c r="N73" s="7"/>
    </row>
    <row r="74" spans="2:14" ht="15" customHeight="1" x14ac:dyDescent="0.3">
      <c r="B74" s="7"/>
      <c r="C74" s="301" t="s">
        <v>217</v>
      </c>
      <c r="D74" s="308">
        <f>G42</f>
        <v>486542.95230237895</v>
      </c>
      <c r="E74" s="308">
        <f>J50</f>
        <v>18209.664000000001</v>
      </c>
      <c r="F74" s="308">
        <f>J58</f>
        <v>701356.59</v>
      </c>
      <c r="G74" s="308">
        <f>N66</f>
        <v>0</v>
      </c>
      <c r="H74" s="308">
        <f>SUM(D74:G74)</f>
        <v>1206109.2063023788</v>
      </c>
      <c r="I74" s="308">
        <f>(D74+E74+F74)*0.05</f>
        <v>60305.460315118944</v>
      </c>
      <c r="J74" s="311">
        <f>H74+I74</f>
        <v>1266414.6666174978</v>
      </c>
      <c r="K74" s="7"/>
      <c r="L74" s="7"/>
      <c r="M74" s="7"/>
      <c r="N74" s="7"/>
    </row>
    <row r="75" spans="2:14" ht="15" customHeight="1" x14ac:dyDescent="0.3">
      <c r="B75" s="7"/>
      <c r="C75" s="301" t="s">
        <v>218</v>
      </c>
      <c r="D75" s="308">
        <f>G43</f>
        <v>562749.81472158129</v>
      </c>
      <c r="E75" s="308">
        <f>J51</f>
        <v>6828.6239999999998</v>
      </c>
      <c r="F75" s="308">
        <f>J59</f>
        <v>707047.11</v>
      </c>
      <c r="G75" s="308">
        <f>N67</f>
        <v>0</v>
      </c>
      <c r="H75" s="308">
        <f>SUM(D75:G75)</f>
        <v>1276625.5487215812</v>
      </c>
      <c r="I75" s="308">
        <f>(D75+E75+F75)*0.05</f>
        <v>63831.277436079065</v>
      </c>
      <c r="J75" s="311">
        <f>H75+I75</f>
        <v>1340456.8261576602</v>
      </c>
      <c r="K75" s="7"/>
      <c r="L75" s="7"/>
      <c r="M75" s="7"/>
      <c r="N75" s="7"/>
    </row>
  </sheetData>
  <mergeCells count="17">
    <mergeCell ref="D3:I3"/>
    <mergeCell ref="D4:I4"/>
    <mergeCell ref="D5:I5"/>
    <mergeCell ref="C10:F10"/>
    <mergeCell ref="D13:E13"/>
    <mergeCell ref="F14:I14"/>
    <mergeCell ref="C15:D15"/>
    <mergeCell ref="F15:I15"/>
    <mergeCell ref="C18:D18"/>
    <mergeCell ref="C25:D25"/>
    <mergeCell ref="I63:M63"/>
    <mergeCell ref="C63:H63"/>
    <mergeCell ref="C71:E71"/>
    <mergeCell ref="C32:D32"/>
    <mergeCell ref="C39:D39"/>
    <mergeCell ref="C47:D47"/>
    <mergeCell ref="C55:D55"/>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B3:Z48"/>
  <sheetViews>
    <sheetView topLeftCell="A5" workbookViewId="0">
      <selection activeCell="A6" sqref="A6"/>
    </sheetView>
  </sheetViews>
  <sheetFormatPr defaultRowHeight="12.5" x14ac:dyDescent="0.25"/>
  <cols>
    <col min="1" max="1" width="8.7265625" customWidth="1"/>
    <col min="2" max="2" width="10.7265625" customWidth="1"/>
    <col min="3" max="3" width="32" customWidth="1"/>
    <col min="4" max="4" width="35.81640625" customWidth="1"/>
    <col min="5" max="5" width="43" customWidth="1"/>
    <col min="6" max="6" width="23.26953125" customWidth="1"/>
    <col min="7" max="9" width="28.54296875" customWidth="1"/>
    <col min="10" max="10" width="17.81640625" customWidth="1"/>
    <col min="11" max="11" width="11.7265625" customWidth="1"/>
    <col min="12" max="12" width="9.26953125" customWidth="1"/>
    <col min="13" max="20" width="5" customWidth="1"/>
    <col min="21" max="28" width="8.7265625" customWidth="1"/>
    <col min="29" max="1027" width="14.453125" customWidth="1"/>
  </cols>
  <sheetData>
    <row r="3" spans="2:26" ht="12.75" customHeight="1" x14ac:dyDescent="0.35">
      <c r="B3" s="949" t="s">
        <v>261</v>
      </c>
      <c r="C3" s="949"/>
      <c r="D3" s="949"/>
      <c r="E3" s="949"/>
      <c r="F3" s="949"/>
      <c r="G3" s="9"/>
      <c r="H3" s="9"/>
      <c r="I3" s="9"/>
      <c r="J3" s="9"/>
      <c r="K3" s="7"/>
      <c r="L3" s="7"/>
      <c r="M3" s="7"/>
      <c r="N3" s="7"/>
      <c r="O3" s="7"/>
      <c r="P3" s="7"/>
      <c r="Q3" s="7"/>
      <c r="R3" s="7"/>
      <c r="S3" s="7"/>
      <c r="T3" s="7"/>
      <c r="U3" s="7"/>
      <c r="V3" s="7"/>
      <c r="W3" s="7"/>
      <c r="X3" s="7"/>
      <c r="Y3" s="7"/>
      <c r="Z3" s="7"/>
    </row>
    <row r="4" spans="2:26" ht="12.75" customHeight="1" x14ac:dyDescent="0.35">
      <c r="B4" s="950" t="s">
        <v>71</v>
      </c>
      <c r="C4" s="950"/>
      <c r="D4" s="950"/>
      <c r="E4" s="950"/>
      <c r="F4" s="950"/>
      <c r="G4" s="9"/>
      <c r="H4" s="9"/>
      <c r="I4" s="9"/>
      <c r="J4" s="9"/>
      <c r="K4" s="7"/>
      <c r="L4" s="7"/>
      <c r="M4" s="7"/>
      <c r="N4" s="7"/>
      <c r="O4" s="7"/>
      <c r="P4" s="7"/>
      <c r="Q4" s="7"/>
      <c r="R4" s="7"/>
      <c r="S4" s="7"/>
      <c r="T4" s="7"/>
      <c r="U4" s="7"/>
      <c r="V4" s="7"/>
      <c r="W4" s="7"/>
      <c r="X4" s="7"/>
      <c r="Y4" s="7"/>
      <c r="Z4" s="7"/>
    </row>
    <row r="5" spans="2:26" ht="12.75" customHeight="1" x14ac:dyDescent="0.35">
      <c r="B5" s="951"/>
      <c r="C5" s="951"/>
      <c r="D5" s="951"/>
      <c r="E5" s="951"/>
      <c r="F5" s="951"/>
      <c r="G5" s="9"/>
      <c r="H5" s="9"/>
      <c r="I5" s="9"/>
      <c r="J5" s="9"/>
      <c r="K5" s="7"/>
      <c r="L5" s="7"/>
      <c r="M5" s="7"/>
      <c r="N5" s="7"/>
      <c r="O5" s="7"/>
      <c r="P5" s="7"/>
      <c r="Q5" s="7"/>
      <c r="R5" s="7"/>
      <c r="S5" s="7"/>
      <c r="T5" s="7"/>
      <c r="U5" s="7"/>
      <c r="V5" s="7"/>
      <c r="W5" s="7"/>
      <c r="X5" s="7"/>
      <c r="Y5" s="7"/>
      <c r="Z5" s="7"/>
    </row>
    <row r="6" spans="2:26" ht="12.75" customHeight="1" x14ac:dyDescent="0.35">
      <c r="B6" s="7"/>
      <c r="C6" s="7"/>
      <c r="D6" s="7"/>
      <c r="E6" s="9"/>
      <c r="F6" s="9"/>
      <c r="G6" s="9"/>
      <c r="H6" s="9"/>
      <c r="I6" s="9"/>
      <c r="J6" s="9"/>
      <c r="K6" s="7"/>
      <c r="L6" s="7"/>
      <c r="M6" s="7"/>
      <c r="N6" s="7"/>
      <c r="O6" s="7"/>
      <c r="P6" s="7"/>
      <c r="Q6" s="7"/>
      <c r="R6" s="7"/>
      <c r="S6" s="7"/>
      <c r="T6" s="7"/>
      <c r="U6" s="7"/>
      <c r="V6" s="7"/>
      <c r="W6" s="7"/>
      <c r="X6" s="7"/>
      <c r="Y6" s="7"/>
      <c r="Z6" s="7"/>
    </row>
    <row r="7" spans="2:26" ht="12.75" customHeight="1" x14ac:dyDescent="0.35">
      <c r="B7" s="7"/>
      <c r="C7" s="7"/>
      <c r="D7" s="7"/>
      <c r="E7" s="9"/>
      <c r="F7" s="9"/>
      <c r="G7" s="9"/>
      <c r="H7" s="9"/>
      <c r="I7" s="9"/>
      <c r="J7" s="9"/>
      <c r="K7" s="7"/>
      <c r="L7" s="7"/>
      <c r="M7" s="7"/>
      <c r="N7" s="7"/>
      <c r="O7" s="7"/>
      <c r="P7" s="7"/>
      <c r="Q7" s="7"/>
      <c r="R7" s="7"/>
      <c r="S7" s="7"/>
      <c r="T7" s="7"/>
      <c r="U7" s="7"/>
      <c r="V7" s="7"/>
      <c r="W7" s="7"/>
      <c r="X7" s="7"/>
      <c r="Y7" s="7"/>
      <c r="Z7" s="7"/>
    </row>
    <row r="8" spans="2:26" ht="12.75" customHeight="1" x14ac:dyDescent="0.35">
      <c r="B8" s="969" t="s">
        <v>262</v>
      </c>
      <c r="C8" s="969"/>
      <c r="D8" s="969"/>
      <c r="E8" s="7"/>
      <c r="F8" s="7" t="s">
        <v>263</v>
      </c>
      <c r="G8" s="7"/>
      <c r="H8" s="7"/>
      <c r="I8" s="7"/>
      <c r="J8" s="7"/>
      <c r="K8" s="7"/>
      <c r="L8" s="7"/>
      <c r="M8" s="7"/>
      <c r="N8" s="7"/>
      <c r="O8" s="7"/>
      <c r="P8" s="7"/>
      <c r="Q8" s="7"/>
      <c r="R8" s="7"/>
      <c r="S8" s="7"/>
      <c r="T8" s="7"/>
      <c r="U8" s="7"/>
      <c r="V8" s="7"/>
      <c r="W8" s="7"/>
      <c r="X8" s="7"/>
      <c r="Y8" s="7"/>
      <c r="Z8" s="7"/>
    </row>
    <row r="9" spans="2:26" ht="12.75" customHeight="1" x14ac:dyDescent="0.35">
      <c r="B9" s="312"/>
      <c r="C9" s="106"/>
      <c r="D9" s="7"/>
      <c r="E9" s="7"/>
      <c r="F9" s="7"/>
      <c r="G9" s="7"/>
      <c r="H9" s="7"/>
      <c r="I9" s="7"/>
      <c r="J9" s="7"/>
      <c r="K9" s="7"/>
      <c r="L9" s="7"/>
      <c r="M9" s="7"/>
      <c r="N9" s="7"/>
      <c r="O9" s="7"/>
      <c r="P9" s="7"/>
      <c r="Q9" s="7"/>
      <c r="R9" s="7"/>
      <c r="S9" s="7"/>
      <c r="T9" s="7"/>
      <c r="U9" s="7"/>
      <c r="V9" s="7"/>
      <c r="W9" s="7"/>
      <c r="X9" s="7"/>
      <c r="Y9" s="7"/>
      <c r="Z9" s="7"/>
    </row>
    <row r="10" spans="2:26" ht="15" customHeight="1" x14ac:dyDescent="0.3">
      <c r="B10" s="7"/>
      <c r="C10" s="313" t="s">
        <v>264</v>
      </c>
      <c r="D10" s="108" t="str">
        <f>'Memoria-equipamentoXfuncionario'!C31</f>
        <v>Balança rodoviária (80 ton)</v>
      </c>
      <c r="E10" s="888" t="str">
        <f>'Memoria-equipamentoXfuncionario'!D31</f>
        <v>Reach Stacker</v>
      </c>
      <c r="F10" s="108" t="str">
        <f>'Memoria-equipamentoXfuncionario'!E31</f>
        <v>Empilhadeira 3t</v>
      </c>
      <c r="G10" s="108" t="str">
        <f>'Memoria-equipamentoXfuncionario'!F31</f>
        <v>Empilhadeira 6t</v>
      </c>
      <c r="H10" s="108" t="str">
        <f>'Memoria-equipamentoXfuncionario'!G31</f>
        <v>Empilhadeira 7t</v>
      </c>
      <c r="I10" s="108" t="str">
        <f>'Memoria-equipamentoXfuncionario'!H31</f>
        <v>Empilhadeira 16t</v>
      </c>
      <c r="J10" s="108" t="s">
        <v>265</v>
      </c>
      <c r="K10" s="7"/>
      <c r="L10" s="7"/>
      <c r="M10" s="7"/>
      <c r="N10" s="7"/>
      <c r="O10" s="7"/>
      <c r="P10" s="7"/>
      <c r="Q10" s="7"/>
      <c r="R10" s="7"/>
      <c r="S10" s="7"/>
      <c r="T10" s="7"/>
      <c r="U10" s="44"/>
      <c r="V10" s="44"/>
      <c r="W10" s="44"/>
      <c r="X10" s="44"/>
      <c r="Y10" s="44"/>
      <c r="Z10" s="44"/>
    </row>
    <row r="11" spans="2:26" ht="15" customHeight="1" x14ac:dyDescent="0.3">
      <c r="B11" s="7"/>
      <c r="C11" s="42" t="s">
        <v>266</v>
      </c>
      <c r="D11" s="314">
        <v>101985</v>
      </c>
      <c r="E11" s="889">
        <v>1126791</v>
      </c>
      <c r="F11" s="314">
        <v>120000</v>
      </c>
      <c r="G11" s="314">
        <v>516</v>
      </c>
      <c r="H11" s="314">
        <v>606000</v>
      </c>
      <c r="I11" s="314">
        <v>1124390</v>
      </c>
      <c r="J11" s="815">
        <f>SUM(D11:I11)</f>
        <v>3079682</v>
      </c>
      <c r="K11" s="7"/>
      <c r="L11" s="7"/>
      <c r="M11" s="7"/>
      <c r="N11" s="7"/>
      <c r="O11" s="7"/>
      <c r="P11" s="7"/>
      <c r="Q11" s="7"/>
      <c r="R11" s="7"/>
      <c r="S11" s="7"/>
      <c r="T11" s="7"/>
      <c r="U11" s="44"/>
      <c r="V11" s="44"/>
      <c r="W11" s="44"/>
      <c r="X11" s="44"/>
      <c r="Y11" s="44"/>
      <c r="Z11" s="44"/>
    </row>
    <row r="12" spans="2:26" ht="15" customHeight="1" x14ac:dyDescent="0.25">
      <c r="B12" s="995" t="s">
        <v>267</v>
      </c>
      <c r="C12" s="42" t="s">
        <v>268</v>
      </c>
      <c r="D12" s="27">
        <f>'Memoria-equipamentoXfuncionario'!C32</f>
        <v>1</v>
      </c>
      <c r="E12" s="890">
        <v>1</v>
      </c>
      <c r="F12" s="27">
        <f>'Memoria-equipamentoXfuncionario'!E32</f>
        <v>3</v>
      </c>
      <c r="G12" s="27">
        <v>1</v>
      </c>
      <c r="H12" s="27">
        <v>1</v>
      </c>
      <c r="I12" s="27">
        <v>1</v>
      </c>
      <c r="J12" s="27"/>
      <c r="K12" s="7"/>
      <c r="L12" s="7"/>
      <c r="M12" s="7"/>
      <c r="N12" s="7"/>
      <c r="O12" s="7"/>
      <c r="P12" s="7"/>
      <c r="Q12" s="7"/>
      <c r="R12" s="7"/>
      <c r="S12" s="7"/>
      <c r="T12" s="7"/>
      <c r="U12" s="44"/>
      <c r="V12" s="44"/>
      <c r="W12" s="44"/>
      <c r="X12" s="44"/>
      <c r="Y12" s="44"/>
      <c r="Z12" s="44"/>
    </row>
    <row r="13" spans="2:26" ht="15" customHeight="1" x14ac:dyDescent="0.25">
      <c r="B13" s="995"/>
      <c r="C13" s="42" t="s">
        <v>269</v>
      </c>
      <c r="D13" s="315">
        <f>D$11*D12</f>
        <v>101985</v>
      </c>
      <c r="E13" s="891">
        <f>E$11*E12</f>
        <v>1126791</v>
      </c>
      <c r="F13" s="877">
        <f>F11*F12</f>
        <v>360000</v>
      </c>
      <c r="G13" s="315">
        <f>G$11*G12</f>
        <v>516</v>
      </c>
      <c r="H13" s="315">
        <f>H$11*H12</f>
        <v>606000</v>
      </c>
      <c r="I13" s="315">
        <f>I$11*I12</f>
        <v>1124390</v>
      </c>
      <c r="J13" s="315">
        <f>SUM(D13:I13)</f>
        <v>3319682</v>
      </c>
      <c r="K13" s="7"/>
      <c r="L13" s="7"/>
      <c r="M13" s="7"/>
      <c r="N13" s="7"/>
      <c r="O13" s="7"/>
      <c r="P13" s="7"/>
      <c r="Q13" s="7"/>
      <c r="R13" s="7"/>
      <c r="S13" s="7"/>
      <c r="T13" s="7"/>
      <c r="U13" s="44"/>
      <c r="V13" s="44"/>
      <c r="W13" s="44"/>
      <c r="X13" s="44"/>
      <c r="Y13" s="44"/>
      <c r="Z13" s="44"/>
    </row>
    <row r="14" spans="2:26" ht="15" customHeight="1" x14ac:dyDescent="0.25">
      <c r="B14" s="995" t="s">
        <v>270</v>
      </c>
      <c r="C14" s="42" t="s">
        <v>268</v>
      </c>
      <c r="D14" s="27">
        <v>1</v>
      </c>
      <c r="E14" s="890">
        <v>2</v>
      </c>
      <c r="F14" s="27">
        <v>4</v>
      </c>
      <c r="G14" s="27">
        <v>1</v>
      </c>
      <c r="H14" s="27">
        <v>1</v>
      </c>
      <c r="I14" s="27">
        <v>1</v>
      </c>
      <c r="J14" s="27"/>
      <c r="K14" s="7"/>
      <c r="L14" s="7"/>
      <c r="M14" s="7"/>
      <c r="N14" s="7"/>
      <c r="O14" s="7"/>
      <c r="P14" s="7"/>
      <c r="Q14" s="7"/>
      <c r="R14" s="7"/>
      <c r="S14" s="7"/>
      <c r="T14" s="7"/>
      <c r="U14" s="44"/>
      <c r="V14" s="44"/>
      <c r="W14" s="44"/>
      <c r="X14" s="44"/>
      <c r="Y14" s="44"/>
      <c r="Z14" s="44" t="s">
        <v>271</v>
      </c>
    </row>
    <row r="15" spans="2:26" ht="15" customHeight="1" x14ac:dyDescent="0.25">
      <c r="B15" s="995"/>
      <c r="C15" s="42" t="s">
        <v>269</v>
      </c>
      <c r="D15" s="315">
        <f>D$11*D14</f>
        <v>101985</v>
      </c>
      <c r="E15" s="891">
        <f>E$11*E14</f>
        <v>2253582</v>
      </c>
      <c r="F15" s="315">
        <f>F11*4</f>
        <v>480000</v>
      </c>
      <c r="G15" s="315">
        <f>G$11*G14</f>
        <v>516</v>
      </c>
      <c r="H15" s="315">
        <f>H$11*H14</f>
        <v>606000</v>
      </c>
      <c r="I15" s="315">
        <f>I$11*I14</f>
        <v>1124390</v>
      </c>
      <c r="J15" s="315">
        <f>SUM(D15:I15)</f>
        <v>4566473</v>
      </c>
      <c r="K15" s="7"/>
      <c r="L15" s="7"/>
      <c r="M15" s="7"/>
      <c r="N15" s="7"/>
      <c r="O15" s="7"/>
      <c r="P15" s="7"/>
      <c r="Q15" s="7"/>
      <c r="R15" s="7"/>
      <c r="S15" s="7"/>
      <c r="T15" s="7"/>
      <c r="U15" s="44"/>
      <c r="V15" s="44"/>
      <c r="W15" s="44"/>
      <c r="X15" s="44"/>
      <c r="Y15" s="44"/>
      <c r="Z15" s="44"/>
    </row>
    <row r="16" spans="2:26" ht="15" customHeight="1" x14ac:dyDescent="0.25">
      <c r="B16" s="995" t="s">
        <v>272</v>
      </c>
      <c r="C16" s="42" t="s">
        <v>268</v>
      </c>
      <c r="D16" s="27">
        <v>2</v>
      </c>
      <c r="E16" s="890">
        <v>2</v>
      </c>
      <c r="F16" s="27">
        <v>5</v>
      </c>
      <c r="G16" s="27">
        <v>1</v>
      </c>
      <c r="H16" s="27">
        <v>1</v>
      </c>
      <c r="I16" s="27">
        <v>1</v>
      </c>
      <c r="J16" s="27"/>
      <c r="K16" s="7"/>
      <c r="L16" s="7"/>
      <c r="M16" s="7"/>
      <c r="N16" s="7"/>
      <c r="O16" s="7"/>
      <c r="P16" s="7"/>
      <c r="Q16" s="7"/>
      <c r="R16" s="7"/>
      <c r="S16" s="7"/>
      <c r="T16" s="7"/>
      <c r="U16" s="44"/>
      <c r="V16" s="44"/>
      <c r="W16" s="44"/>
      <c r="X16" s="44"/>
      <c r="Y16" s="44"/>
      <c r="Z16" s="44"/>
    </row>
    <row r="17" spans="2:12" ht="15" customHeight="1" x14ac:dyDescent="0.25">
      <c r="B17" s="995"/>
      <c r="C17" s="42" t="s">
        <v>269</v>
      </c>
      <c r="D17" s="315">
        <f>D$11*D16</f>
        <v>203970</v>
      </c>
      <c r="E17" s="891">
        <f>E$11*E16</f>
        <v>2253582</v>
      </c>
      <c r="F17" s="315">
        <f>F11*5</f>
        <v>600000</v>
      </c>
      <c r="G17" s="315">
        <f>G$11*G16</f>
        <v>516</v>
      </c>
      <c r="H17" s="315">
        <f>H$11*H16</f>
        <v>606000</v>
      </c>
      <c r="I17" s="315">
        <f>I$11*I16</f>
        <v>1124390</v>
      </c>
      <c r="J17" s="315">
        <f>SUM(D17:I17)</f>
        <v>4788458</v>
      </c>
      <c r="K17" s="7"/>
      <c r="L17" s="7"/>
    </row>
    <row r="18" spans="2:12" ht="12.75" customHeight="1" x14ac:dyDescent="0.25">
      <c r="B18" s="120"/>
      <c r="C18" s="7"/>
      <c r="D18" s="152"/>
      <c r="E18" s="152"/>
      <c r="F18" s="152"/>
      <c r="G18" s="152"/>
      <c r="H18" s="152"/>
      <c r="I18" s="152"/>
      <c r="J18" s="152"/>
      <c r="K18" s="7"/>
      <c r="L18" s="7"/>
    </row>
    <row r="19" spans="2:12" ht="12.75" customHeight="1" x14ac:dyDescent="0.25">
      <c r="B19" s="120"/>
      <c r="C19" s="7"/>
      <c r="D19" s="152"/>
      <c r="E19" s="152"/>
      <c r="F19" s="152"/>
      <c r="G19" s="152"/>
      <c r="H19" s="152"/>
      <c r="I19" s="152"/>
      <c r="J19" s="152"/>
      <c r="K19" s="7"/>
      <c r="L19" s="7"/>
    </row>
    <row r="20" spans="2:12" ht="12.75" customHeight="1" x14ac:dyDescent="0.3">
      <c r="B20" s="120"/>
      <c r="C20" s="996" t="s">
        <v>273</v>
      </c>
      <c r="D20" s="996"/>
      <c r="E20" s="856">
        <v>9.5000000000000001E-2</v>
      </c>
      <c r="F20" s="152"/>
      <c r="G20" s="152"/>
      <c r="H20" s="152"/>
      <c r="I20" s="152"/>
      <c r="J20" s="152"/>
      <c r="K20" s="7"/>
      <c r="L20" s="7"/>
    </row>
    <row r="21" spans="2:12" ht="12.75" customHeight="1" x14ac:dyDescent="0.25">
      <c r="B21" s="120"/>
      <c r="C21" s="7"/>
      <c r="D21" s="152"/>
      <c r="E21" s="152"/>
      <c r="F21" s="152"/>
      <c r="G21" s="152"/>
      <c r="H21" s="152"/>
      <c r="I21" s="152"/>
      <c r="J21" s="152"/>
      <c r="K21" s="7"/>
      <c r="L21" s="7"/>
    </row>
    <row r="22" spans="2:12" ht="12.75" customHeight="1" x14ac:dyDescent="0.25">
      <c r="B22" s="7"/>
      <c r="C22" s="7"/>
      <c r="D22" s="316"/>
      <c r="E22" s="316"/>
      <c r="F22" s="7"/>
      <c r="G22" s="152"/>
      <c r="H22" s="152"/>
      <c r="I22" s="152"/>
      <c r="J22" s="152"/>
      <c r="K22" s="7"/>
      <c r="L22" s="7"/>
    </row>
    <row r="23" spans="2:12" ht="15" customHeight="1" x14ac:dyDescent="0.3">
      <c r="B23" s="317" t="s">
        <v>80</v>
      </c>
      <c r="C23" s="317" t="s">
        <v>274</v>
      </c>
      <c r="D23" s="317" t="s">
        <v>275</v>
      </c>
      <c r="E23" s="7"/>
      <c r="F23" s="7"/>
      <c r="G23" s="152"/>
      <c r="H23" s="152"/>
      <c r="I23" s="152"/>
      <c r="J23" s="152"/>
      <c r="K23" s="7"/>
      <c r="L23" s="7"/>
    </row>
    <row r="24" spans="2:12" ht="15" customHeight="1" x14ac:dyDescent="0.25">
      <c r="B24" s="28">
        <v>1</v>
      </c>
      <c r="C24" s="28">
        <f>J13</f>
        <v>3319682</v>
      </c>
      <c r="D24" s="318">
        <f>C24*0.1*0</f>
        <v>0</v>
      </c>
      <c r="E24" s="817"/>
      <c r="F24" s="817"/>
      <c r="G24" s="818"/>
      <c r="H24" s="818"/>
      <c r="I24" s="818"/>
      <c r="J24" s="818"/>
      <c r="K24" s="817"/>
      <c r="L24" s="7"/>
    </row>
    <row r="25" spans="2:12" ht="15" customHeight="1" x14ac:dyDescent="0.3">
      <c r="B25" s="28">
        <v>2</v>
      </c>
      <c r="C25" s="28">
        <f t="shared" ref="C25:C33" si="0">C24</f>
        <v>3319682</v>
      </c>
      <c r="D25" s="318">
        <f>(C25*E$20)/2</f>
        <v>157684.89499999999</v>
      </c>
      <c r="E25" s="817"/>
      <c r="F25" s="816"/>
      <c r="G25" s="817"/>
      <c r="H25" s="819"/>
      <c r="I25" s="817"/>
      <c r="J25" s="820"/>
      <c r="K25" s="820"/>
      <c r="L25" s="7"/>
    </row>
    <row r="26" spans="2:12" ht="15" customHeight="1" x14ac:dyDescent="0.3">
      <c r="B26" s="28">
        <v>3</v>
      </c>
      <c r="C26" s="28">
        <f t="shared" si="0"/>
        <v>3319682</v>
      </c>
      <c r="D26" s="318">
        <f>(C26*E$20)</f>
        <v>315369.78999999998</v>
      </c>
      <c r="E26" s="819"/>
      <c r="F26" s="816"/>
      <c r="G26" s="817"/>
      <c r="H26" s="817"/>
      <c r="I26" s="817"/>
      <c r="J26" s="820"/>
      <c r="K26" s="820"/>
      <c r="L26" s="7"/>
    </row>
    <row r="27" spans="2:12" ht="15" customHeight="1" x14ac:dyDescent="0.3">
      <c r="B27" s="28">
        <v>4</v>
      </c>
      <c r="C27" s="28">
        <f t="shared" si="0"/>
        <v>3319682</v>
      </c>
      <c r="D27" s="318">
        <f t="shared" ref="D27:D48" si="1">(C27*E$20)</f>
        <v>315369.78999999998</v>
      </c>
      <c r="E27" s="821"/>
      <c r="F27" s="817"/>
      <c r="G27" s="817"/>
      <c r="H27" s="817"/>
      <c r="I27" s="817"/>
      <c r="J27" s="820"/>
      <c r="K27" s="820"/>
      <c r="L27" s="7"/>
    </row>
    <row r="28" spans="2:12" ht="15" customHeight="1" x14ac:dyDescent="0.25">
      <c r="B28" s="28">
        <v>5</v>
      </c>
      <c r="C28" s="28">
        <f t="shared" si="0"/>
        <v>3319682</v>
      </c>
      <c r="D28" s="318">
        <f t="shared" si="1"/>
        <v>315369.78999999998</v>
      </c>
      <c r="E28" s="821"/>
      <c r="F28" s="817"/>
      <c r="G28" s="817"/>
      <c r="H28" s="817"/>
      <c r="I28" s="817"/>
      <c r="J28" s="817"/>
      <c r="K28" s="817"/>
      <c r="L28" s="7"/>
    </row>
    <row r="29" spans="2:12" ht="15" customHeight="1" x14ac:dyDescent="0.25">
      <c r="B29" s="28">
        <v>6</v>
      </c>
      <c r="C29" s="28">
        <f t="shared" si="0"/>
        <v>3319682</v>
      </c>
      <c r="D29" s="318">
        <f t="shared" si="1"/>
        <v>315369.78999999998</v>
      </c>
      <c r="E29" s="817"/>
      <c r="F29" s="997"/>
      <c r="G29" s="997"/>
      <c r="H29" s="997"/>
      <c r="I29" s="997"/>
      <c r="J29" s="997"/>
      <c r="K29" s="997"/>
      <c r="L29" s="7"/>
    </row>
    <row r="30" spans="2:12" ht="15" customHeight="1" x14ac:dyDescent="0.3">
      <c r="B30" s="28">
        <v>7</v>
      </c>
      <c r="C30" s="28">
        <f t="shared" si="0"/>
        <v>3319682</v>
      </c>
      <c r="D30" s="318">
        <f t="shared" si="1"/>
        <v>315369.78999999998</v>
      </c>
      <c r="E30" s="8"/>
      <c r="F30" s="998"/>
      <c r="G30" s="994"/>
      <c r="H30" s="994"/>
      <c r="I30" s="994"/>
      <c r="J30" s="994"/>
      <c r="K30" s="994"/>
      <c r="L30" s="112"/>
    </row>
    <row r="31" spans="2:12" ht="15" customHeight="1" x14ac:dyDescent="0.3">
      <c r="B31" s="28">
        <v>8</v>
      </c>
      <c r="C31" s="28">
        <f t="shared" si="0"/>
        <v>3319682</v>
      </c>
      <c r="D31" s="318">
        <f t="shared" si="1"/>
        <v>315369.78999999998</v>
      </c>
      <c r="E31" s="8"/>
      <c r="F31" s="994"/>
      <c r="G31" s="994"/>
      <c r="H31" s="994"/>
      <c r="I31" s="994"/>
      <c r="J31" s="994"/>
      <c r="K31" s="994"/>
      <c r="L31" s="112"/>
    </row>
    <row r="32" spans="2:12" ht="15" customHeight="1" x14ac:dyDescent="0.3">
      <c r="B32" s="28">
        <v>9</v>
      </c>
      <c r="C32" s="28">
        <f t="shared" si="0"/>
        <v>3319682</v>
      </c>
      <c r="D32" s="318">
        <f t="shared" si="1"/>
        <v>315369.78999999998</v>
      </c>
      <c r="E32" s="7"/>
      <c r="F32" s="994"/>
      <c r="G32" s="994"/>
      <c r="H32" s="994"/>
      <c r="I32" s="994"/>
      <c r="J32" s="994"/>
      <c r="K32" s="994"/>
      <c r="L32" s="994"/>
    </row>
    <row r="33" spans="2:7" ht="15" customHeight="1" x14ac:dyDescent="0.3">
      <c r="B33" s="28">
        <v>10</v>
      </c>
      <c r="C33" s="28">
        <f t="shared" si="0"/>
        <v>3319682</v>
      </c>
      <c r="D33" s="318">
        <f t="shared" si="1"/>
        <v>315369.78999999998</v>
      </c>
      <c r="E33" s="7"/>
      <c r="F33" s="994"/>
      <c r="G33" s="994"/>
    </row>
    <row r="34" spans="2:7" ht="15" customHeight="1" x14ac:dyDescent="0.25">
      <c r="B34" s="28">
        <v>11</v>
      </c>
      <c r="C34" s="28">
        <f>J15</f>
        <v>4566473</v>
      </c>
      <c r="D34" s="318">
        <f t="shared" si="1"/>
        <v>433814.935</v>
      </c>
      <c r="E34" s="7"/>
      <c r="F34" s="7"/>
      <c r="G34" s="7"/>
    </row>
    <row r="35" spans="2:7" ht="15" customHeight="1" x14ac:dyDescent="0.25">
      <c r="B35" s="28">
        <v>12</v>
      </c>
      <c r="C35" s="28">
        <f>C34</f>
        <v>4566473</v>
      </c>
      <c r="D35" s="318">
        <f t="shared" si="1"/>
        <v>433814.935</v>
      </c>
      <c r="E35" s="7"/>
      <c r="F35" s="7"/>
      <c r="G35" s="7"/>
    </row>
    <row r="36" spans="2:7" ht="15" customHeight="1" x14ac:dyDescent="0.25">
      <c r="B36" s="28">
        <v>13</v>
      </c>
      <c r="C36" s="28">
        <f>C35</f>
        <v>4566473</v>
      </c>
      <c r="D36" s="318">
        <f t="shared" si="1"/>
        <v>433814.935</v>
      </c>
      <c r="E36" s="7"/>
      <c r="F36" s="7"/>
      <c r="G36" s="7"/>
    </row>
    <row r="37" spans="2:7" ht="15" customHeight="1" x14ac:dyDescent="0.25">
      <c r="B37" s="28">
        <v>14</v>
      </c>
      <c r="C37" s="28">
        <f>C36</f>
        <v>4566473</v>
      </c>
      <c r="D37" s="318">
        <f t="shared" si="1"/>
        <v>433814.935</v>
      </c>
      <c r="E37" s="7"/>
      <c r="F37" s="7"/>
      <c r="G37" s="7"/>
    </row>
    <row r="38" spans="2:7" ht="15" customHeight="1" x14ac:dyDescent="0.25">
      <c r="B38" s="28">
        <v>15</v>
      </c>
      <c r="C38" s="28">
        <f>C37</f>
        <v>4566473</v>
      </c>
      <c r="D38" s="318">
        <f t="shared" si="1"/>
        <v>433814.935</v>
      </c>
      <c r="E38" s="7"/>
      <c r="F38" s="7"/>
      <c r="G38" s="7"/>
    </row>
    <row r="39" spans="2:7" ht="15" customHeight="1" x14ac:dyDescent="0.25">
      <c r="B39" s="28">
        <v>16</v>
      </c>
      <c r="C39" s="28">
        <f>J17</f>
        <v>4788458</v>
      </c>
      <c r="D39" s="318">
        <f t="shared" si="1"/>
        <v>454903.51</v>
      </c>
      <c r="E39" s="7"/>
      <c r="F39" s="7"/>
      <c r="G39" s="7"/>
    </row>
    <row r="40" spans="2:7" ht="15" customHeight="1" x14ac:dyDescent="0.25">
      <c r="B40" s="28">
        <v>17</v>
      </c>
      <c r="C40" s="28">
        <f t="shared" ref="C40:C48" si="2">C39</f>
        <v>4788458</v>
      </c>
      <c r="D40" s="318">
        <f t="shared" si="1"/>
        <v>454903.51</v>
      </c>
      <c r="E40" s="7"/>
      <c r="F40" s="7"/>
      <c r="G40" s="7"/>
    </row>
    <row r="41" spans="2:7" ht="15" customHeight="1" x14ac:dyDescent="0.25">
      <c r="B41" s="28">
        <v>18</v>
      </c>
      <c r="C41" s="28">
        <f t="shared" si="2"/>
        <v>4788458</v>
      </c>
      <c r="D41" s="318">
        <f t="shared" si="1"/>
        <v>454903.51</v>
      </c>
      <c r="E41" s="7"/>
      <c r="F41" s="7"/>
      <c r="G41" s="7"/>
    </row>
    <row r="42" spans="2:7" ht="15" customHeight="1" x14ac:dyDescent="0.25">
      <c r="B42" s="28">
        <v>19</v>
      </c>
      <c r="C42" s="28">
        <f t="shared" si="2"/>
        <v>4788458</v>
      </c>
      <c r="D42" s="318">
        <f t="shared" si="1"/>
        <v>454903.51</v>
      </c>
      <c r="E42" s="7"/>
      <c r="F42" s="7"/>
      <c r="G42" s="7"/>
    </row>
    <row r="43" spans="2:7" ht="15" customHeight="1" x14ac:dyDescent="0.25">
      <c r="B43" s="28">
        <v>20</v>
      </c>
      <c r="C43" s="28">
        <f t="shared" si="2"/>
        <v>4788458</v>
      </c>
      <c r="D43" s="318">
        <f t="shared" si="1"/>
        <v>454903.51</v>
      </c>
      <c r="E43" s="7"/>
      <c r="F43" s="7"/>
      <c r="G43" s="7"/>
    </row>
    <row r="44" spans="2:7" ht="15" customHeight="1" x14ac:dyDescent="0.25">
      <c r="B44" s="28">
        <v>21</v>
      </c>
      <c r="C44" s="28">
        <f t="shared" si="2"/>
        <v>4788458</v>
      </c>
      <c r="D44" s="318">
        <f t="shared" si="1"/>
        <v>454903.51</v>
      </c>
      <c r="E44" s="7"/>
      <c r="F44" s="7"/>
      <c r="G44" s="7"/>
    </row>
    <row r="45" spans="2:7" ht="15" customHeight="1" x14ac:dyDescent="0.25">
      <c r="B45" s="28">
        <v>22</v>
      </c>
      <c r="C45" s="28">
        <f t="shared" si="2"/>
        <v>4788458</v>
      </c>
      <c r="D45" s="318">
        <f t="shared" si="1"/>
        <v>454903.51</v>
      </c>
      <c r="E45" s="7"/>
      <c r="F45" s="7"/>
      <c r="G45" s="7"/>
    </row>
    <row r="46" spans="2:7" ht="15" customHeight="1" x14ac:dyDescent="0.25">
      <c r="B46" s="28">
        <v>23</v>
      </c>
      <c r="C46" s="28">
        <f t="shared" si="2"/>
        <v>4788458</v>
      </c>
      <c r="D46" s="318">
        <f t="shared" si="1"/>
        <v>454903.51</v>
      </c>
      <c r="E46" s="7"/>
      <c r="F46" s="7"/>
      <c r="G46" s="7"/>
    </row>
    <row r="47" spans="2:7" ht="15" customHeight="1" x14ac:dyDescent="0.25">
      <c r="B47" s="28">
        <v>24</v>
      </c>
      <c r="C47" s="28">
        <f t="shared" si="2"/>
        <v>4788458</v>
      </c>
      <c r="D47" s="318">
        <f t="shared" si="1"/>
        <v>454903.51</v>
      </c>
      <c r="E47" s="7"/>
      <c r="F47" s="7"/>
      <c r="G47" s="7"/>
    </row>
    <row r="48" spans="2:7" ht="15" customHeight="1" x14ac:dyDescent="0.25">
      <c r="B48" s="28">
        <v>25</v>
      </c>
      <c r="C48" s="28">
        <f t="shared" si="2"/>
        <v>4788458</v>
      </c>
      <c r="D48" s="318">
        <f t="shared" si="1"/>
        <v>454903.51</v>
      </c>
      <c r="E48" s="7"/>
      <c r="F48" s="7"/>
      <c r="G48" s="7"/>
    </row>
  </sheetData>
  <mergeCells count="13">
    <mergeCell ref="B3:F3"/>
    <mergeCell ref="B4:F4"/>
    <mergeCell ref="B5:F5"/>
    <mergeCell ref="B8:D8"/>
    <mergeCell ref="B12:B13"/>
    <mergeCell ref="F31:K31"/>
    <mergeCell ref="F32:L32"/>
    <mergeCell ref="F33:G33"/>
    <mergeCell ref="B14:B15"/>
    <mergeCell ref="B16:B17"/>
    <mergeCell ref="C20:D20"/>
    <mergeCell ref="F29:K29"/>
    <mergeCell ref="F30:K30"/>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B2:K113"/>
  <sheetViews>
    <sheetView topLeftCell="A14" workbookViewId="0">
      <selection activeCell="E15" sqref="E15"/>
    </sheetView>
  </sheetViews>
  <sheetFormatPr defaultRowHeight="12.5" x14ac:dyDescent="0.25"/>
  <cols>
    <col min="1" max="1" width="8.7265625" customWidth="1"/>
    <col min="2" max="2" width="7" customWidth="1"/>
    <col min="3" max="3" width="23.26953125" customWidth="1"/>
    <col min="4" max="4" width="31.1796875" customWidth="1"/>
    <col min="5" max="5" width="25.54296875" bestFit="1" customWidth="1"/>
    <col min="6" max="7" width="25.54296875" customWidth="1"/>
    <col min="8" max="8" width="16.453125" customWidth="1"/>
    <col min="9" max="9" width="15.81640625" customWidth="1"/>
    <col min="10" max="10" width="13.54296875" customWidth="1"/>
    <col min="11" max="11" width="15.26953125" customWidth="1"/>
    <col min="12" max="12" width="18.81640625" customWidth="1"/>
    <col min="13" max="13" width="34.7265625" bestFit="1" customWidth="1"/>
    <col min="14" max="14" width="23.54296875" customWidth="1"/>
    <col min="15" max="15" width="26.81640625" customWidth="1"/>
    <col min="16" max="16" width="30" customWidth="1"/>
    <col min="17" max="17" width="14.7265625" customWidth="1"/>
    <col min="18" max="18" width="16.7265625" customWidth="1"/>
    <col min="19" max="28" width="8.7265625" customWidth="1"/>
    <col min="29" max="1027" width="14.453125" customWidth="1"/>
  </cols>
  <sheetData>
    <row r="2" spans="2:8" ht="12.75" customHeight="1" x14ac:dyDescent="0.35">
      <c r="B2" s="949" t="s">
        <v>70</v>
      </c>
      <c r="C2" s="949"/>
      <c r="D2" s="949"/>
      <c r="E2" s="949"/>
      <c r="F2" s="949"/>
      <c r="G2" s="949"/>
      <c r="H2" s="949"/>
    </row>
    <row r="3" spans="2:8" ht="12.75" customHeight="1" x14ac:dyDescent="0.35">
      <c r="B3" s="950" t="s">
        <v>71</v>
      </c>
      <c r="C3" s="950"/>
      <c r="D3" s="950"/>
      <c r="E3" s="950"/>
      <c r="F3" s="950"/>
      <c r="G3" s="950"/>
      <c r="H3" s="950"/>
    </row>
    <row r="4" spans="2:8" ht="17.899999999999999" customHeight="1" x14ac:dyDescent="0.35">
      <c r="B4" s="951"/>
      <c r="C4" s="951"/>
      <c r="D4" s="951"/>
      <c r="E4" s="951"/>
      <c r="F4" s="951"/>
      <c r="G4" s="951"/>
      <c r="H4" s="951"/>
    </row>
    <row r="5" spans="2:8" ht="12.75" customHeight="1" x14ac:dyDescent="0.25">
      <c r="B5" s="7"/>
      <c r="C5" s="7"/>
      <c r="D5" s="7"/>
      <c r="E5" s="7"/>
      <c r="F5" s="7"/>
      <c r="G5" s="7"/>
      <c r="H5" s="7"/>
    </row>
    <row r="6" spans="2:8" ht="12.75" customHeight="1" x14ac:dyDescent="0.25">
      <c r="B6" s="7"/>
      <c r="C6" s="7"/>
      <c r="D6" s="7"/>
      <c r="E6" s="7"/>
      <c r="F6" s="7"/>
      <c r="G6" s="7"/>
      <c r="H6" s="7"/>
    </row>
    <row r="7" spans="2:8" ht="16.5" customHeight="1" x14ac:dyDescent="0.35">
      <c r="B7" s="969" t="s">
        <v>276</v>
      </c>
      <c r="C7" s="969"/>
      <c r="D7" s="969"/>
      <c r="E7" s="969"/>
      <c r="F7" s="823"/>
      <c r="G7" s="823"/>
      <c r="H7" s="7"/>
    </row>
    <row r="8" spans="2:8" ht="12.75" customHeight="1" x14ac:dyDescent="0.25">
      <c r="B8" s="7"/>
      <c r="C8" s="7"/>
      <c r="D8" s="7"/>
      <c r="E8" s="7"/>
      <c r="F8" s="7"/>
      <c r="G8" s="7"/>
      <c r="H8" s="7"/>
    </row>
    <row r="9" spans="2:8" ht="15" customHeight="1" x14ac:dyDescent="0.3">
      <c r="B9" s="319" t="s">
        <v>80</v>
      </c>
      <c r="C9" s="319" t="s">
        <v>277</v>
      </c>
      <c r="D9" s="319" t="s">
        <v>278</v>
      </c>
      <c r="E9" s="319" t="s">
        <v>279</v>
      </c>
      <c r="F9" s="824"/>
      <c r="G9" s="824"/>
      <c r="H9" s="7"/>
    </row>
    <row r="10" spans="2:8" ht="15" customHeight="1" x14ac:dyDescent="0.3">
      <c r="B10" s="117">
        <v>1</v>
      </c>
      <c r="C10" s="320">
        <f t="shared" ref="C10:C33" si="0">H41</f>
        <v>0</v>
      </c>
      <c r="D10" s="320">
        <f t="shared" ref="D10:D33" si="1">C85</f>
        <v>0</v>
      </c>
      <c r="E10" s="322">
        <f>C10+D10</f>
        <v>0</v>
      </c>
      <c r="F10" s="825"/>
      <c r="G10" s="825"/>
      <c r="H10" s="7"/>
    </row>
    <row r="11" spans="2:8" ht="15" customHeight="1" x14ac:dyDescent="0.3">
      <c r="B11" s="117">
        <v>2</v>
      </c>
      <c r="C11" s="827">
        <f>H42</f>
        <v>331000.03200000001</v>
      </c>
      <c r="D11" s="828">
        <f t="shared" si="1"/>
        <v>9951.2068965517246</v>
      </c>
      <c r="E11" s="829">
        <f>C11+D11</f>
        <v>340951.23889655172</v>
      </c>
      <c r="F11" s="825"/>
      <c r="G11" s="825"/>
      <c r="H11" s="7"/>
    </row>
    <row r="12" spans="2:8" ht="15" customHeight="1" x14ac:dyDescent="0.3">
      <c r="B12" s="117">
        <v>3</v>
      </c>
      <c r="C12" s="827">
        <f>H43</f>
        <v>687287.0399999998</v>
      </c>
      <c r="D12" s="828">
        <f t="shared" si="1"/>
        <v>19902.413793103449</v>
      </c>
      <c r="E12" s="829">
        <f>C12+D12</f>
        <v>707189.45379310322</v>
      </c>
      <c r="F12" s="825"/>
      <c r="G12" s="825"/>
      <c r="H12" s="7"/>
    </row>
    <row r="13" spans="2:8" ht="15" customHeight="1" x14ac:dyDescent="0.3">
      <c r="B13" s="117">
        <v>4</v>
      </c>
      <c r="C13" s="827">
        <f>H44</f>
        <v>687287.0399999998</v>
      </c>
      <c r="D13" s="828">
        <f t="shared" si="1"/>
        <v>19902.413793103449</v>
      </c>
      <c r="E13" s="829">
        <f>C13+D13</f>
        <v>707189.45379310322</v>
      </c>
      <c r="F13" s="825"/>
      <c r="G13" s="825"/>
      <c r="H13" s="7"/>
    </row>
    <row r="14" spans="2:8" ht="15" customHeight="1" x14ac:dyDescent="0.3">
      <c r="B14" s="117">
        <v>5</v>
      </c>
      <c r="C14" s="827">
        <f>H45</f>
        <v>687287.0399999998</v>
      </c>
      <c r="D14" s="828">
        <f t="shared" si="1"/>
        <v>19902.413793103449</v>
      </c>
      <c r="E14" s="829">
        <f t="shared" ref="E14:E33" si="2">C14+D14</f>
        <v>707189.45379310322</v>
      </c>
      <c r="F14" s="825"/>
      <c r="G14" s="825"/>
      <c r="H14" s="7"/>
    </row>
    <row r="15" spans="2:8" ht="15" customHeight="1" x14ac:dyDescent="0.3">
      <c r="B15" s="117">
        <v>6</v>
      </c>
      <c r="C15" s="827">
        <f>H46</f>
        <v>687287.0399999998</v>
      </c>
      <c r="D15" s="828">
        <f t="shared" si="1"/>
        <v>19902.413793103449</v>
      </c>
      <c r="E15" s="829">
        <f t="shared" si="2"/>
        <v>707189.45379310322</v>
      </c>
      <c r="F15" s="825"/>
      <c r="G15" s="825"/>
      <c r="H15" s="7"/>
    </row>
    <row r="16" spans="2:8" ht="15" customHeight="1" x14ac:dyDescent="0.3">
      <c r="B16" s="117">
        <v>7</v>
      </c>
      <c r="C16" s="827">
        <f t="shared" si="0"/>
        <v>687287.0399999998</v>
      </c>
      <c r="D16" s="828">
        <f t="shared" si="1"/>
        <v>19902.413793103449</v>
      </c>
      <c r="E16" s="829">
        <f t="shared" si="2"/>
        <v>707189.45379310322</v>
      </c>
      <c r="F16" s="825"/>
      <c r="G16" s="825"/>
      <c r="H16" s="7"/>
    </row>
    <row r="17" spans="2:5" ht="15" customHeight="1" x14ac:dyDescent="0.3">
      <c r="B17" s="117">
        <v>8</v>
      </c>
      <c r="C17" s="827">
        <f t="shared" si="0"/>
        <v>687287.0399999998</v>
      </c>
      <c r="D17" s="828">
        <f t="shared" si="1"/>
        <v>19902.413793103449</v>
      </c>
      <c r="E17" s="829">
        <f>C17+D17</f>
        <v>707189.45379310322</v>
      </c>
    </row>
    <row r="18" spans="2:5" ht="15" customHeight="1" x14ac:dyDescent="0.3">
      <c r="B18" s="117">
        <v>9</v>
      </c>
      <c r="C18" s="827">
        <f t="shared" si="0"/>
        <v>687287.0399999998</v>
      </c>
      <c r="D18" s="828">
        <f t="shared" si="1"/>
        <v>19902.413793103449</v>
      </c>
      <c r="E18" s="829">
        <f t="shared" si="2"/>
        <v>707189.45379310322</v>
      </c>
    </row>
    <row r="19" spans="2:5" ht="15" customHeight="1" x14ac:dyDescent="0.3">
      <c r="B19" s="117">
        <v>10</v>
      </c>
      <c r="C19" s="827">
        <f>H50</f>
        <v>687287.0399999998</v>
      </c>
      <c r="D19" s="828">
        <f t="shared" si="1"/>
        <v>19902.413793103449</v>
      </c>
      <c r="E19" s="829">
        <f t="shared" si="2"/>
        <v>707189.45379310322</v>
      </c>
    </row>
    <row r="20" spans="2:5" ht="15" customHeight="1" x14ac:dyDescent="0.3">
      <c r="B20" s="117">
        <v>11</v>
      </c>
      <c r="C20" s="827">
        <f>H51</f>
        <v>901253.75999999978</v>
      </c>
      <c r="D20" s="828">
        <f t="shared" si="1"/>
        <v>19902.413793103449</v>
      </c>
      <c r="E20" s="829">
        <f>C20+D20</f>
        <v>921156.1737931032</v>
      </c>
    </row>
    <row r="21" spans="2:5" ht="15" customHeight="1" x14ac:dyDescent="0.3">
      <c r="B21" s="117">
        <v>12</v>
      </c>
      <c r="C21" s="827">
        <f>H52</f>
        <v>901253.75999999978</v>
      </c>
      <c r="D21" s="828">
        <f t="shared" si="1"/>
        <v>19902.413793103449</v>
      </c>
      <c r="E21" s="829">
        <f t="shared" si="2"/>
        <v>921156.1737931032</v>
      </c>
    </row>
    <row r="22" spans="2:5" ht="15" customHeight="1" x14ac:dyDescent="0.3">
      <c r="B22" s="117">
        <v>13</v>
      </c>
      <c r="C22" s="827">
        <f t="shared" si="0"/>
        <v>901253.75999999978</v>
      </c>
      <c r="D22" s="828">
        <f t="shared" si="1"/>
        <v>19902.413793103449</v>
      </c>
      <c r="E22" s="829">
        <f t="shared" si="2"/>
        <v>921156.1737931032</v>
      </c>
    </row>
    <row r="23" spans="2:5" ht="15" customHeight="1" x14ac:dyDescent="0.3">
      <c r="B23" s="117">
        <v>14</v>
      </c>
      <c r="C23" s="827">
        <f t="shared" si="0"/>
        <v>901253.75999999978</v>
      </c>
      <c r="D23" s="828">
        <f t="shared" si="1"/>
        <v>19902.413793103449</v>
      </c>
      <c r="E23" s="829">
        <f>C23+D23</f>
        <v>921156.1737931032</v>
      </c>
    </row>
    <row r="24" spans="2:5" ht="15" customHeight="1" x14ac:dyDescent="0.3">
      <c r="B24" s="117">
        <v>15</v>
      </c>
      <c r="C24" s="827">
        <f t="shared" ref="C24:C29" si="3">H55</f>
        <v>1141155.8399999999</v>
      </c>
      <c r="D24" s="828">
        <f t="shared" si="1"/>
        <v>19902.413793103449</v>
      </c>
      <c r="E24" s="829">
        <f>C24+D24</f>
        <v>1161058.2537931034</v>
      </c>
    </row>
    <row r="25" spans="2:5" ht="15" customHeight="1" x14ac:dyDescent="0.3">
      <c r="B25" s="117">
        <v>16</v>
      </c>
      <c r="C25" s="827">
        <f t="shared" si="3"/>
        <v>1141155.8399999999</v>
      </c>
      <c r="D25" s="828">
        <f t="shared" si="1"/>
        <v>19902.413793103449</v>
      </c>
      <c r="E25" s="829">
        <f t="shared" si="2"/>
        <v>1161058.2537931034</v>
      </c>
    </row>
    <row r="26" spans="2:5" ht="15" customHeight="1" x14ac:dyDescent="0.3">
      <c r="B26" s="117">
        <v>17</v>
      </c>
      <c r="C26" s="827">
        <f t="shared" si="3"/>
        <v>1141155.8399999999</v>
      </c>
      <c r="D26" s="828">
        <f t="shared" si="1"/>
        <v>19902.413793103449</v>
      </c>
      <c r="E26" s="829">
        <f t="shared" si="2"/>
        <v>1161058.2537931034</v>
      </c>
    </row>
    <row r="27" spans="2:5" ht="15" customHeight="1" x14ac:dyDescent="0.3">
      <c r="B27" s="117">
        <v>18</v>
      </c>
      <c r="C27" s="827">
        <f t="shared" si="3"/>
        <v>1141155.8399999999</v>
      </c>
      <c r="D27" s="828">
        <f t="shared" si="1"/>
        <v>19902.413793103449</v>
      </c>
      <c r="E27" s="829">
        <f t="shared" si="2"/>
        <v>1161058.2537931034</v>
      </c>
    </row>
    <row r="28" spans="2:5" ht="15" customHeight="1" x14ac:dyDescent="0.3">
      <c r="B28" s="117">
        <v>19</v>
      </c>
      <c r="C28" s="827">
        <f t="shared" si="3"/>
        <v>1141155.8399999999</v>
      </c>
      <c r="D28" s="828">
        <f t="shared" si="1"/>
        <v>19902.413793103449</v>
      </c>
      <c r="E28" s="829">
        <f t="shared" si="2"/>
        <v>1161058.2537931034</v>
      </c>
    </row>
    <row r="29" spans="2:5" ht="15" customHeight="1" x14ac:dyDescent="0.3">
      <c r="B29" s="117">
        <v>20</v>
      </c>
      <c r="C29" s="827">
        <f t="shared" si="3"/>
        <v>1141155.8399999999</v>
      </c>
      <c r="D29" s="828">
        <f>C104</f>
        <v>19902.413793103449</v>
      </c>
      <c r="E29" s="829">
        <f t="shared" si="2"/>
        <v>1161058.2537931034</v>
      </c>
    </row>
    <row r="30" spans="2:5" ht="15" customHeight="1" x14ac:dyDescent="0.3">
      <c r="B30" s="117">
        <v>21</v>
      </c>
      <c r="C30" s="827">
        <f t="shared" si="0"/>
        <v>1141155.8399999999</v>
      </c>
      <c r="D30" s="828">
        <f t="shared" si="1"/>
        <v>19902.413793103449</v>
      </c>
      <c r="E30" s="829">
        <f>C30+D30</f>
        <v>1161058.2537931034</v>
      </c>
    </row>
    <row r="31" spans="2:5" ht="15" customHeight="1" x14ac:dyDescent="0.3">
      <c r="B31" s="117">
        <v>22</v>
      </c>
      <c r="C31" s="827">
        <f>H62</f>
        <v>1141155.8399999999</v>
      </c>
      <c r="D31" s="828">
        <f t="shared" si="1"/>
        <v>19902.413793103449</v>
      </c>
      <c r="E31" s="829">
        <f t="shared" si="2"/>
        <v>1161058.2537931034</v>
      </c>
    </row>
    <row r="32" spans="2:5" ht="15" customHeight="1" x14ac:dyDescent="0.3">
      <c r="B32" s="117">
        <v>23</v>
      </c>
      <c r="C32" s="827">
        <f t="shared" si="0"/>
        <v>1141155.8399999999</v>
      </c>
      <c r="D32" s="828">
        <f t="shared" si="1"/>
        <v>19902.413793103449</v>
      </c>
      <c r="E32" s="829">
        <f t="shared" si="2"/>
        <v>1161058.2537931034</v>
      </c>
    </row>
    <row r="33" spans="2:8" ht="15" customHeight="1" x14ac:dyDescent="0.3">
      <c r="B33" s="117">
        <v>24</v>
      </c>
      <c r="C33" s="827">
        <f t="shared" si="0"/>
        <v>1141155.8399999999</v>
      </c>
      <c r="D33" s="828">
        <f t="shared" si="1"/>
        <v>19902.413793103449</v>
      </c>
      <c r="E33" s="829">
        <f t="shared" si="2"/>
        <v>1161058.2537931034</v>
      </c>
      <c r="F33" s="825"/>
      <c r="G33" s="825"/>
      <c r="H33" s="7"/>
    </row>
    <row r="34" spans="2:8" ht="15" customHeight="1" x14ac:dyDescent="0.3">
      <c r="B34" s="323">
        <v>25</v>
      </c>
      <c r="C34" s="827">
        <f>H65</f>
        <v>1141155.8399999999</v>
      </c>
      <c r="D34" s="828">
        <f>C109</f>
        <v>19902.413793103449</v>
      </c>
      <c r="E34" s="829">
        <f>C34+D34</f>
        <v>1161058.2537931034</v>
      </c>
      <c r="F34" s="825"/>
      <c r="G34" s="825"/>
      <c r="H34" s="7"/>
    </row>
    <row r="35" spans="2:8" ht="15" customHeight="1" x14ac:dyDescent="0.3">
      <c r="B35" s="324"/>
      <c r="C35" s="174"/>
      <c r="D35" s="325"/>
      <c r="E35" s="326"/>
      <c r="F35" s="326"/>
      <c r="G35" s="326"/>
      <c r="H35" s="7"/>
    </row>
    <row r="36" spans="2:8" ht="12.75" customHeight="1" x14ac:dyDescent="0.25">
      <c r="B36" s="7"/>
      <c r="C36" s="7"/>
      <c r="D36" s="7"/>
      <c r="E36" s="7"/>
      <c r="F36" s="7"/>
      <c r="G36" s="7"/>
      <c r="H36" s="7"/>
    </row>
    <row r="37" spans="2:8" ht="12.75" customHeight="1" x14ac:dyDescent="0.25">
      <c r="B37" s="7"/>
      <c r="C37" s="7"/>
      <c r="D37" s="7"/>
      <c r="E37" s="7"/>
      <c r="F37" s="7"/>
      <c r="G37" s="7"/>
      <c r="H37" s="7"/>
    </row>
    <row r="38" spans="2:8" ht="12.75" customHeight="1" x14ac:dyDescent="0.25">
      <c r="B38" s="7"/>
      <c r="C38" s="7"/>
      <c r="D38" s="7"/>
      <c r="E38" s="7"/>
      <c r="F38" s="7"/>
      <c r="G38" s="7"/>
      <c r="H38" s="7"/>
    </row>
    <row r="39" spans="2:8" ht="17.25" customHeight="1" x14ac:dyDescent="0.35">
      <c r="B39" s="776"/>
      <c r="C39" s="822" t="s">
        <v>280</v>
      </c>
      <c r="D39" s="776"/>
    </row>
    <row r="40" spans="2:8" ht="12.75" customHeight="1" x14ac:dyDescent="0.3">
      <c r="B40" s="771" t="s">
        <v>80</v>
      </c>
      <c r="C40" s="772" t="s">
        <v>153</v>
      </c>
      <c r="D40" s="772" t="s">
        <v>154</v>
      </c>
      <c r="E40" s="772" t="s">
        <v>155</v>
      </c>
      <c r="F40" s="772" t="s">
        <v>156</v>
      </c>
      <c r="G40" s="772" t="s">
        <v>157</v>
      </c>
      <c r="H40" s="772" t="s">
        <v>281</v>
      </c>
    </row>
    <row r="41" spans="2:8" ht="12.75" customHeight="1" x14ac:dyDescent="0.3">
      <c r="B41" s="773">
        <v>1</v>
      </c>
      <c r="C41" s="826">
        <f>'Anexo II - Carga-demanda'!G21</f>
        <v>0</v>
      </c>
      <c r="D41" s="826">
        <v>0</v>
      </c>
      <c r="E41" s="826">
        <f>C41+D41</f>
        <v>0</v>
      </c>
      <c r="F41" s="826">
        <v>0</v>
      </c>
      <c r="G41" s="826">
        <v>0</v>
      </c>
      <c r="H41" s="826">
        <v>0</v>
      </c>
    </row>
    <row r="42" spans="2:8" ht="12.75" customHeight="1" x14ac:dyDescent="0.3">
      <c r="B42" s="773">
        <v>2</v>
      </c>
      <c r="C42" s="826">
        <f>(8*22*12*14.5*6.14)/2</f>
        <v>94015.679999999993</v>
      </c>
      <c r="D42" s="826">
        <f>(8*22*12*1.35*6.14)*1.5</f>
        <v>26259.552000000003</v>
      </c>
      <c r="E42" s="826">
        <f>(8*22*12*11*6.14)/2</f>
        <v>71322.239999999991</v>
      </c>
      <c r="F42" s="826">
        <f>(8*22*12*11.5*6.14)/2</f>
        <v>74564.159999999989</v>
      </c>
      <c r="G42" s="826">
        <f>(8*22*12*10*6.14)/2</f>
        <v>64838.399999999994</v>
      </c>
      <c r="H42" s="826">
        <f>SUM(C42:G42)</f>
        <v>331000.03200000001</v>
      </c>
    </row>
    <row r="43" spans="2:8" ht="12.75" customHeight="1" x14ac:dyDescent="0.3">
      <c r="B43" s="773">
        <v>3</v>
      </c>
      <c r="C43" s="826">
        <f>(8*22*12*14.5*6.14)</f>
        <v>188031.35999999999</v>
      </c>
      <c r="D43" s="826">
        <f>(8*22*12*2*6.14)*3</f>
        <v>77806.079999999987</v>
      </c>
      <c r="E43" s="826">
        <f>(8*22*12*11*6.14)</f>
        <v>142644.47999999998</v>
      </c>
      <c r="F43" s="826">
        <f>(8*22*12*11.5*6.14)</f>
        <v>149128.31999999998</v>
      </c>
      <c r="G43" s="826">
        <f>(8*22*12*10*6.14)</f>
        <v>129676.79999999999</v>
      </c>
      <c r="H43" s="826">
        <f t="shared" ref="H43:H65" si="4">SUM(C43:G43)</f>
        <v>687287.0399999998</v>
      </c>
    </row>
    <row r="44" spans="2:8" ht="12.75" customHeight="1" x14ac:dyDescent="0.3">
      <c r="B44" s="773">
        <v>4</v>
      </c>
      <c r="C44" s="826">
        <f t="shared" ref="C44:C50" si="5">(8*22*12*14.5*6.14)</f>
        <v>188031.35999999999</v>
      </c>
      <c r="D44" s="826">
        <f t="shared" ref="D44:D50" si="6">(8*22*12*2*6.14)*3</f>
        <v>77806.079999999987</v>
      </c>
      <c r="E44" s="826">
        <f t="shared" ref="E44:E65" si="7">(8*22*12*11*6.14)</f>
        <v>142644.47999999998</v>
      </c>
      <c r="F44" s="826">
        <f t="shared" ref="F44:F65" si="8">(8*22*12*11.5*6.14)</f>
        <v>149128.31999999998</v>
      </c>
      <c r="G44" s="826">
        <f t="shared" ref="G44:G65" si="9">(8*22*12*10*6.14)</f>
        <v>129676.79999999999</v>
      </c>
      <c r="H44" s="826">
        <f t="shared" si="4"/>
        <v>687287.0399999998</v>
      </c>
    </row>
    <row r="45" spans="2:8" ht="12.75" customHeight="1" x14ac:dyDescent="0.3">
      <c r="B45" s="773">
        <v>5</v>
      </c>
      <c r="C45" s="826">
        <f t="shared" si="5"/>
        <v>188031.35999999999</v>
      </c>
      <c r="D45" s="826">
        <f t="shared" si="6"/>
        <v>77806.079999999987</v>
      </c>
      <c r="E45" s="826">
        <f t="shared" si="7"/>
        <v>142644.47999999998</v>
      </c>
      <c r="F45" s="826">
        <f t="shared" si="8"/>
        <v>149128.31999999998</v>
      </c>
      <c r="G45" s="826">
        <f t="shared" si="9"/>
        <v>129676.79999999999</v>
      </c>
      <c r="H45" s="826">
        <f t="shared" si="4"/>
        <v>687287.0399999998</v>
      </c>
    </row>
    <row r="46" spans="2:8" ht="12.75" customHeight="1" x14ac:dyDescent="0.3">
      <c r="B46" s="773">
        <v>6</v>
      </c>
      <c r="C46" s="826">
        <f t="shared" si="5"/>
        <v>188031.35999999999</v>
      </c>
      <c r="D46" s="826">
        <f t="shared" si="6"/>
        <v>77806.079999999987</v>
      </c>
      <c r="E46" s="826">
        <f t="shared" si="7"/>
        <v>142644.47999999998</v>
      </c>
      <c r="F46" s="826">
        <f t="shared" si="8"/>
        <v>149128.31999999998</v>
      </c>
      <c r="G46" s="826">
        <f t="shared" si="9"/>
        <v>129676.79999999999</v>
      </c>
      <c r="H46" s="826">
        <f t="shared" si="4"/>
        <v>687287.0399999998</v>
      </c>
    </row>
    <row r="47" spans="2:8" ht="12.75" customHeight="1" x14ac:dyDescent="0.3">
      <c r="B47" s="773">
        <v>7</v>
      </c>
      <c r="C47" s="826">
        <f t="shared" si="5"/>
        <v>188031.35999999999</v>
      </c>
      <c r="D47" s="826">
        <f t="shared" si="6"/>
        <v>77806.079999999987</v>
      </c>
      <c r="E47" s="826">
        <f t="shared" si="7"/>
        <v>142644.47999999998</v>
      </c>
      <c r="F47" s="826">
        <f t="shared" si="8"/>
        <v>149128.31999999998</v>
      </c>
      <c r="G47" s="826">
        <f t="shared" si="9"/>
        <v>129676.79999999999</v>
      </c>
      <c r="H47" s="826">
        <f t="shared" si="4"/>
        <v>687287.0399999998</v>
      </c>
    </row>
    <row r="48" spans="2:8" ht="12.75" customHeight="1" x14ac:dyDescent="0.3">
      <c r="B48" s="773">
        <v>8</v>
      </c>
      <c r="C48" s="826">
        <f t="shared" si="5"/>
        <v>188031.35999999999</v>
      </c>
      <c r="D48" s="826">
        <f t="shared" si="6"/>
        <v>77806.079999999987</v>
      </c>
      <c r="E48" s="826">
        <f t="shared" si="7"/>
        <v>142644.47999999998</v>
      </c>
      <c r="F48" s="826">
        <f t="shared" si="8"/>
        <v>149128.31999999998</v>
      </c>
      <c r="G48" s="826">
        <f t="shared" si="9"/>
        <v>129676.79999999999</v>
      </c>
      <c r="H48" s="826">
        <f t="shared" si="4"/>
        <v>687287.0399999998</v>
      </c>
    </row>
    <row r="49" spans="2:8" ht="12.75" customHeight="1" x14ac:dyDescent="0.3">
      <c r="B49" s="773">
        <v>9</v>
      </c>
      <c r="C49" s="826">
        <f t="shared" si="5"/>
        <v>188031.35999999999</v>
      </c>
      <c r="D49" s="826">
        <f t="shared" si="6"/>
        <v>77806.079999999987</v>
      </c>
      <c r="E49" s="826">
        <f t="shared" si="7"/>
        <v>142644.47999999998</v>
      </c>
      <c r="F49" s="826">
        <f t="shared" si="8"/>
        <v>149128.31999999998</v>
      </c>
      <c r="G49" s="826">
        <f t="shared" si="9"/>
        <v>129676.79999999999</v>
      </c>
      <c r="H49" s="826">
        <f t="shared" si="4"/>
        <v>687287.0399999998</v>
      </c>
    </row>
    <row r="50" spans="2:8" ht="12.75" customHeight="1" x14ac:dyDescent="0.3">
      <c r="B50" s="773">
        <v>10</v>
      </c>
      <c r="C50" s="826">
        <f t="shared" si="5"/>
        <v>188031.35999999999</v>
      </c>
      <c r="D50" s="826">
        <f t="shared" si="6"/>
        <v>77806.079999999987</v>
      </c>
      <c r="E50" s="826">
        <f t="shared" si="7"/>
        <v>142644.47999999998</v>
      </c>
      <c r="F50" s="826">
        <f t="shared" si="8"/>
        <v>149128.31999999998</v>
      </c>
      <c r="G50" s="826">
        <f t="shared" si="9"/>
        <v>129676.79999999999</v>
      </c>
      <c r="H50" s="826">
        <f t="shared" si="4"/>
        <v>687287.0399999998</v>
      </c>
    </row>
    <row r="51" spans="2:8" ht="12.75" customHeight="1" x14ac:dyDescent="0.3">
      <c r="B51" s="773">
        <v>11</v>
      </c>
      <c r="C51" s="826">
        <f>(8*22*12*14.5*6.14)*2</f>
        <v>376062.71999999997</v>
      </c>
      <c r="D51" s="826">
        <f>(8*22*12*2*6.14)*4</f>
        <v>103741.43999999999</v>
      </c>
      <c r="E51" s="826">
        <f t="shared" si="7"/>
        <v>142644.47999999998</v>
      </c>
      <c r="F51" s="826">
        <f t="shared" si="8"/>
        <v>149128.31999999998</v>
      </c>
      <c r="G51" s="826">
        <f t="shared" si="9"/>
        <v>129676.79999999999</v>
      </c>
      <c r="H51" s="826">
        <f t="shared" si="4"/>
        <v>901253.75999999978</v>
      </c>
    </row>
    <row r="52" spans="2:8" ht="12.75" customHeight="1" x14ac:dyDescent="0.3">
      <c r="B52" s="773">
        <v>12</v>
      </c>
      <c r="C52" s="826">
        <f>(8*22*12*14.5*6.14)*2</f>
        <v>376062.71999999997</v>
      </c>
      <c r="D52" s="826">
        <f t="shared" ref="D52:D54" si="10">(8*22*12*2*6.14)*4</f>
        <v>103741.43999999999</v>
      </c>
      <c r="E52" s="826">
        <f t="shared" si="7"/>
        <v>142644.47999999998</v>
      </c>
      <c r="F52" s="826">
        <f t="shared" si="8"/>
        <v>149128.31999999998</v>
      </c>
      <c r="G52" s="826">
        <f t="shared" si="9"/>
        <v>129676.79999999999</v>
      </c>
      <c r="H52" s="826">
        <f t="shared" si="4"/>
        <v>901253.75999999978</v>
      </c>
    </row>
    <row r="53" spans="2:8" ht="12.75" customHeight="1" x14ac:dyDescent="0.3">
      <c r="B53" s="773">
        <v>13</v>
      </c>
      <c r="C53" s="826">
        <f t="shared" ref="C53:C54" si="11">(8*22*12*14.5*6.14)*2</f>
        <v>376062.71999999997</v>
      </c>
      <c r="D53" s="826">
        <f t="shared" si="10"/>
        <v>103741.43999999999</v>
      </c>
      <c r="E53" s="826">
        <f t="shared" si="7"/>
        <v>142644.47999999998</v>
      </c>
      <c r="F53" s="826">
        <f t="shared" si="8"/>
        <v>149128.31999999998</v>
      </c>
      <c r="G53" s="826">
        <f t="shared" si="9"/>
        <v>129676.79999999999</v>
      </c>
      <c r="H53" s="826">
        <f t="shared" si="4"/>
        <v>901253.75999999978</v>
      </c>
    </row>
    <row r="54" spans="2:8" ht="12.75" customHeight="1" x14ac:dyDescent="0.3">
      <c r="B54" s="773">
        <v>14</v>
      </c>
      <c r="C54" s="826">
        <f t="shared" si="11"/>
        <v>376062.71999999997</v>
      </c>
      <c r="D54" s="826">
        <f t="shared" si="10"/>
        <v>103741.43999999999</v>
      </c>
      <c r="E54" s="826">
        <f t="shared" si="7"/>
        <v>142644.47999999998</v>
      </c>
      <c r="F54" s="826">
        <f t="shared" si="8"/>
        <v>149128.31999999998</v>
      </c>
      <c r="G54" s="826">
        <f t="shared" si="9"/>
        <v>129676.79999999999</v>
      </c>
      <c r="H54" s="826">
        <f t="shared" si="4"/>
        <v>901253.75999999978</v>
      </c>
    </row>
    <row r="55" spans="2:8" ht="12.75" customHeight="1" x14ac:dyDescent="0.3">
      <c r="B55" s="773">
        <v>15</v>
      </c>
      <c r="C55" s="826">
        <f>(8*22*12*14.5*6.14)*3</f>
        <v>564094.07999999996</v>
      </c>
      <c r="D55" s="826">
        <f>(8*22*12*2*6.14)*6</f>
        <v>155612.15999999997</v>
      </c>
      <c r="E55" s="826">
        <f t="shared" si="7"/>
        <v>142644.47999999998</v>
      </c>
      <c r="F55" s="826">
        <f t="shared" si="8"/>
        <v>149128.31999999998</v>
      </c>
      <c r="G55" s="826">
        <f t="shared" si="9"/>
        <v>129676.79999999999</v>
      </c>
      <c r="H55" s="826">
        <f t="shared" si="4"/>
        <v>1141155.8399999999</v>
      </c>
    </row>
    <row r="56" spans="2:8" ht="12.75" customHeight="1" x14ac:dyDescent="0.3">
      <c r="B56" s="773">
        <v>16</v>
      </c>
      <c r="C56" s="826">
        <f t="shared" ref="C56:C65" si="12">(8*22*12*14.5*6.14)*3</f>
        <v>564094.07999999996</v>
      </c>
      <c r="D56" s="826">
        <f t="shared" ref="D56:D65" si="13">(8*22*12*2*6.14)*6</f>
        <v>155612.15999999997</v>
      </c>
      <c r="E56" s="826">
        <f t="shared" si="7"/>
        <v>142644.47999999998</v>
      </c>
      <c r="F56" s="826">
        <f t="shared" si="8"/>
        <v>149128.31999999998</v>
      </c>
      <c r="G56" s="826">
        <f t="shared" si="9"/>
        <v>129676.79999999999</v>
      </c>
      <c r="H56" s="826">
        <f t="shared" si="4"/>
        <v>1141155.8399999999</v>
      </c>
    </row>
    <row r="57" spans="2:8" ht="12.75" customHeight="1" x14ac:dyDescent="0.3">
      <c r="B57" s="773">
        <v>17</v>
      </c>
      <c r="C57" s="826">
        <f t="shared" si="12"/>
        <v>564094.07999999996</v>
      </c>
      <c r="D57" s="826">
        <f t="shared" si="13"/>
        <v>155612.15999999997</v>
      </c>
      <c r="E57" s="826">
        <f t="shared" si="7"/>
        <v>142644.47999999998</v>
      </c>
      <c r="F57" s="826">
        <f t="shared" si="8"/>
        <v>149128.31999999998</v>
      </c>
      <c r="G57" s="826">
        <f t="shared" si="9"/>
        <v>129676.79999999999</v>
      </c>
      <c r="H57" s="826">
        <f t="shared" si="4"/>
        <v>1141155.8399999999</v>
      </c>
    </row>
    <row r="58" spans="2:8" ht="12.75" customHeight="1" x14ac:dyDescent="0.3">
      <c r="B58" s="773">
        <v>18</v>
      </c>
      <c r="C58" s="826">
        <f t="shared" si="12"/>
        <v>564094.07999999996</v>
      </c>
      <c r="D58" s="826">
        <f t="shared" si="13"/>
        <v>155612.15999999997</v>
      </c>
      <c r="E58" s="826">
        <f t="shared" si="7"/>
        <v>142644.47999999998</v>
      </c>
      <c r="F58" s="826">
        <f t="shared" si="8"/>
        <v>149128.31999999998</v>
      </c>
      <c r="G58" s="826">
        <f t="shared" si="9"/>
        <v>129676.79999999999</v>
      </c>
      <c r="H58" s="826">
        <f t="shared" si="4"/>
        <v>1141155.8399999999</v>
      </c>
    </row>
    <row r="59" spans="2:8" ht="12.75" customHeight="1" x14ac:dyDescent="0.3">
      <c r="B59" s="773">
        <v>19</v>
      </c>
      <c r="C59" s="826">
        <f t="shared" si="12"/>
        <v>564094.07999999996</v>
      </c>
      <c r="D59" s="826">
        <f t="shared" si="13"/>
        <v>155612.15999999997</v>
      </c>
      <c r="E59" s="826">
        <f t="shared" si="7"/>
        <v>142644.47999999998</v>
      </c>
      <c r="F59" s="826">
        <f t="shared" si="8"/>
        <v>149128.31999999998</v>
      </c>
      <c r="G59" s="826">
        <f t="shared" si="9"/>
        <v>129676.79999999999</v>
      </c>
      <c r="H59" s="826">
        <f t="shared" si="4"/>
        <v>1141155.8399999999</v>
      </c>
    </row>
    <row r="60" spans="2:8" ht="12.75" customHeight="1" x14ac:dyDescent="0.3">
      <c r="B60" s="773">
        <v>20</v>
      </c>
      <c r="C60" s="826">
        <f t="shared" si="12"/>
        <v>564094.07999999996</v>
      </c>
      <c r="D60" s="826">
        <f t="shared" si="13"/>
        <v>155612.15999999997</v>
      </c>
      <c r="E60" s="826">
        <f t="shared" si="7"/>
        <v>142644.47999999998</v>
      </c>
      <c r="F60" s="826">
        <f t="shared" si="8"/>
        <v>149128.31999999998</v>
      </c>
      <c r="G60" s="826">
        <f t="shared" si="9"/>
        <v>129676.79999999999</v>
      </c>
      <c r="H60" s="826">
        <f t="shared" si="4"/>
        <v>1141155.8399999999</v>
      </c>
    </row>
    <row r="61" spans="2:8" ht="12.75" customHeight="1" x14ac:dyDescent="0.3">
      <c r="B61" s="773">
        <v>21</v>
      </c>
      <c r="C61" s="826">
        <f t="shared" si="12"/>
        <v>564094.07999999996</v>
      </c>
      <c r="D61" s="826">
        <f t="shared" si="13"/>
        <v>155612.15999999997</v>
      </c>
      <c r="E61" s="826">
        <f t="shared" si="7"/>
        <v>142644.47999999998</v>
      </c>
      <c r="F61" s="826">
        <f t="shared" si="8"/>
        <v>149128.31999999998</v>
      </c>
      <c r="G61" s="826">
        <f t="shared" si="9"/>
        <v>129676.79999999999</v>
      </c>
      <c r="H61" s="826">
        <f t="shared" si="4"/>
        <v>1141155.8399999999</v>
      </c>
    </row>
    <row r="62" spans="2:8" ht="12.75" customHeight="1" x14ac:dyDescent="0.3">
      <c r="B62" s="773">
        <v>22</v>
      </c>
      <c r="C62" s="826">
        <f t="shared" si="12"/>
        <v>564094.07999999996</v>
      </c>
      <c r="D62" s="826">
        <f t="shared" si="13"/>
        <v>155612.15999999997</v>
      </c>
      <c r="E62" s="826">
        <f t="shared" si="7"/>
        <v>142644.47999999998</v>
      </c>
      <c r="F62" s="826">
        <f t="shared" si="8"/>
        <v>149128.31999999998</v>
      </c>
      <c r="G62" s="826">
        <f t="shared" si="9"/>
        <v>129676.79999999999</v>
      </c>
      <c r="H62" s="826">
        <f t="shared" si="4"/>
        <v>1141155.8399999999</v>
      </c>
    </row>
    <row r="63" spans="2:8" ht="12.75" customHeight="1" x14ac:dyDescent="0.3">
      <c r="B63" s="773">
        <v>23</v>
      </c>
      <c r="C63" s="826">
        <f t="shared" si="12"/>
        <v>564094.07999999996</v>
      </c>
      <c r="D63" s="826">
        <f t="shared" si="13"/>
        <v>155612.15999999997</v>
      </c>
      <c r="E63" s="826">
        <f t="shared" si="7"/>
        <v>142644.47999999998</v>
      </c>
      <c r="F63" s="826">
        <f t="shared" si="8"/>
        <v>149128.31999999998</v>
      </c>
      <c r="G63" s="826">
        <f t="shared" si="9"/>
        <v>129676.79999999999</v>
      </c>
      <c r="H63" s="826">
        <f t="shared" si="4"/>
        <v>1141155.8399999999</v>
      </c>
    </row>
    <row r="64" spans="2:8" ht="12.75" customHeight="1" x14ac:dyDescent="0.3">
      <c r="B64" s="773">
        <v>24</v>
      </c>
      <c r="C64" s="826">
        <f t="shared" si="12"/>
        <v>564094.07999999996</v>
      </c>
      <c r="D64" s="826">
        <f t="shared" si="13"/>
        <v>155612.15999999997</v>
      </c>
      <c r="E64" s="826">
        <f t="shared" si="7"/>
        <v>142644.47999999998</v>
      </c>
      <c r="F64" s="826">
        <f t="shared" si="8"/>
        <v>149128.31999999998</v>
      </c>
      <c r="G64" s="826">
        <f t="shared" si="9"/>
        <v>129676.79999999999</v>
      </c>
      <c r="H64" s="826">
        <f t="shared" si="4"/>
        <v>1141155.8399999999</v>
      </c>
    </row>
    <row r="65" spans="2:11" ht="12.75" customHeight="1" x14ac:dyDescent="0.3">
      <c r="B65" s="773">
        <v>25</v>
      </c>
      <c r="C65" s="826">
        <f t="shared" si="12"/>
        <v>564094.07999999996</v>
      </c>
      <c r="D65" s="826">
        <f t="shared" si="13"/>
        <v>155612.15999999997</v>
      </c>
      <c r="E65" s="826">
        <f t="shared" si="7"/>
        <v>142644.47999999998</v>
      </c>
      <c r="F65" s="826">
        <f t="shared" si="8"/>
        <v>149128.31999999998</v>
      </c>
      <c r="G65" s="826">
        <f t="shared" si="9"/>
        <v>129676.79999999999</v>
      </c>
      <c r="H65" s="826">
        <f t="shared" si="4"/>
        <v>1141155.8399999999</v>
      </c>
      <c r="I65" s="7"/>
      <c r="J65" s="7"/>
      <c r="K65" s="7"/>
    </row>
    <row r="66" spans="2:11" ht="12.75" customHeight="1" x14ac:dyDescent="0.25">
      <c r="B66" s="770"/>
      <c r="C66" s="770"/>
      <c r="D66" s="770"/>
      <c r="E66" s="770"/>
      <c r="F66" s="770"/>
      <c r="G66" s="770"/>
      <c r="H66" s="770"/>
      <c r="I66" s="770"/>
      <c r="J66" s="770"/>
      <c r="K66" s="770"/>
    </row>
    <row r="67" spans="2:11" ht="12.75" customHeight="1" x14ac:dyDescent="0.25">
      <c r="B67" s="999" t="s">
        <v>282</v>
      </c>
      <c r="C67" s="999"/>
      <c r="D67" s="999"/>
      <c r="E67" s="999"/>
      <c r="F67" s="999"/>
      <c r="G67" s="999"/>
      <c r="H67" s="999"/>
      <c r="I67" s="999"/>
      <c r="J67" s="999"/>
      <c r="K67" s="999"/>
    </row>
    <row r="68" spans="2:11" ht="12.75" customHeight="1" x14ac:dyDescent="0.25">
      <c r="B68" s="999"/>
      <c r="C68" s="999"/>
      <c r="D68" s="999"/>
      <c r="E68" s="999"/>
      <c r="F68" s="999"/>
      <c r="G68" s="999"/>
      <c r="H68" s="999"/>
      <c r="I68" s="999"/>
      <c r="J68" s="999"/>
      <c r="K68" s="999"/>
    </row>
    <row r="69" spans="2:11" ht="12.75" customHeight="1" x14ac:dyDescent="0.25">
      <c r="B69" s="770"/>
      <c r="C69" s="770"/>
      <c r="D69" s="770"/>
      <c r="E69" s="770"/>
      <c r="F69" s="770"/>
      <c r="G69" s="770"/>
      <c r="H69" s="770"/>
      <c r="I69" s="770"/>
      <c r="J69" s="770"/>
      <c r="K69" s="770"/>
    </row>
    <row r="70" spans="2:11" ht="12.75" customHeight="1" x14ac:dyDescent="0.25">
      <c r="B70" s="999" t="s">
        <v>283</v>
      </c>
      <c r="C70" s="999"/>
      <c r="D70" s="999"/>
      <c r="E70" s="999"/>
      <c r="F70" s="999"/>
      <c r="G70" s="999"/>
      <c r="H70" s="999"/>
      <c r="I70" s="999"/>
      <c r="J70" s="999"/>
      <c r="K70" s="999"/>
    </row>
    <row r="71" spans="2:11" ht="12.75" customHeight="1" x14ac:dyDescent="0.25">
      <c r="B71" s="999"/>
      <c r="C71" s="999"/>
      <c r="D71" s="999"/>
      <c r="E71" s="999"/>
      <c r="F71" s="999"/>
      <c r="G71" s="999"/>
      <c r="H71" s="999"/>
      <c r="I71" s="999"/>
      <c r="J71" s="999"/>
      <c r="K71" s="999"/>
    </row>
    <row r="72" spans="2:11" ht="12.75" customHeight="1" x14ac:dyDescent="0.25">
      <c r="B72" s="774"/>
      <c r="C72" s="774"/>
      <c r="D72" s="774"/>
      <c r="E72" s="774"/>
      <c r="F72" s="774"/>
      <c r="G72" s="774"/>
      <c r="H72" s="774"/>
      <c r="I72" s="774"/>
      <c r="J72" s="774"/>
      <c r="K72" s="774"/>
    </row>
    <row r="73" spans="2:11" ht="12.75" customHeight="1" x14ac:dyDescent="0.25">
      <c r="B73" s="999" t="s">
        <v>284</v>
      </c>
      <c r="C73" s="999"/>
      <c r="D73" s="999"/>
      <c r="E73" s="999"/>
      <c r="F73" s="999"/>
      <c r="G73" s="999"/>
      <c r="H73" s="999"/>
      <c r="I73" s="999"/>
      <c r="J73" s="999"/>
      <c r="K73" s="999"/>
    </row>
    <row r="74" spans="2:11" ht="12.75" customHeight="1" x14ac:dyDescent="0.25">
      <c r="B74" s="999"/>
      <c r="C74" s="999"/>
      <c r="D74" s="999"/>
      <c r="E74" s="999"/>
      <c r="F74" s="999"/>
      <c r="G74" s="999"/>
      <c r="H74" s="999"/>
      <c r="I74" s="999"/>
      <c r="J74" s="999"/>
      <c r="K74" s="999"/>
    </row>
    <row r="75" spans="2:11" ht="12.75" customHeight="1" x14ac:dyDescent="0.25">
      <c r="B75" s="7" t="s">
        <v>285</v>
      </c>
      <c r="C75" s="7"/>
      <c r="D75" s="7"/>
      <c r="E75" s="7"/>
      <c r="F75" s="7"/>
      <c r="G75" s="7"/>
      <c r="H75" s="7"/>
      <c r="I75" s="7"/>
      <c r="J75" s="7"/>
      <c r="K75" s="7"/>
    </row>
    <row r="76" spans="2:11" ht="12.75" customHeight="1" x14ac:dyDescent="0.25">
      <c r="B76" s="7"/>
      <c r="C76" s="7"/>
      <c r="D76" s="7"/>
      <c r="E76" s="7"/>
      <c r="F76" s="7"/>
      <c r="G76" s="7"/>
      <c r="H76" s="7"/>
      <c r="I76" s="7"/>
      <c r="J76" s="7"/>
      <c r="K76" s="7"/>
    </row>
    <row r="77" spans="2:11" ht="12.75" customHeight="1" x14ac:dyDescent="0.25">
      <c r="B77" s="999" t="s">
        <v>286</v>
      </c>
      <c r="C77" s="999"/>
      <c r="D77" s="999"/>
      <c r="E77" s="999"/>
      <c r="F77" s="999"/>
      <c r="G77" s="999"/>
      <c r="H77" s="999"/>
      <c r="I77" s="999"/>
      <c r="J77" s="999"/>
      <c r="K77" s="999"/>
    </row>
    <row r="78" spans="2:11" ht="12.75" customHeight="1" x14ac:dyDescent="0.25">
      <c r="B78" s="999"/>
      <c r="C78" s="999"/>
      <c r="D78" s="999"/>
      <c r="E78" s="999"/>
      <c r="F78" s="999"/>
      <c r="G78" s="999"/>
      <c r="H78" s="999"/>
      <c r="I78" s="999"/>
      <c r="J78" s="999"/>
      <c r="K78" s="999"/>
    </row>
    <row r="79" spans="2:11" ht="12.75" customHeight="1" x14ac:dyDescent="0.25">
      <c r="B79" s="7"/>
      <c r="C79" s="7"/>
      <c r="D79" s="7"/>
      <c r="E79" s="7"/>
      <c r="F79" s="7"/>
      <c r="G79" s="7"/>
      <c r="H79" s="7"/>
      <c r="I79" s="7"/>
      <c r="J79" s="7"/>
      <c r="K79" s="7"/>
    </row>
    <row r="80" spans="2:11" ht="12.75" customHeight="1" x14ac:dyDescent="0.25">
      <c r="B80" s="999" t="s">
        <v>287</v>
      </c>
      <c r="C80" s="999"/>
      <c r="D80" s="999"/>
      <c r="E80" s="999"/>
      <c r="F80" s="999"/>
      <c r="G80" s="999"/>
      <c r="H80" s="999"/>
      <c r="I80" s="999"/>
      <c r="J80" s="999"/>
      <c r="K80" s="999"/>
    </row>
    <row r="81" spans="2:11" ht="12.75" customHeight="1" x14ac:dyDescent="0.25">
      <c r="B81" s="999"/>
      <c r="C81" s="999"/>
      <c r="D81" s="999"/>
      <c r="E81" s="999"/>
      <c r="F81" s="999"/>
      <c r="G81" s="999"/>
      <c r="H81" s="999"/>
      <c r="I81" s="999"/>
      <c r="J81" s="999"/>
      <c r="K81" s="999"/>
    </row>
    <row r="82" spans="2:11" ht="12.75" customHeight="1" x14ac:dyDescent="0.25">
      <c r="B82" s="7"/>
      <c r="C82" s="7"/>
      <c r="D82" s="7"/>
      <c r="E82" s="7"/>
      <c r="F82" s="7"/>
      <c r="G82" s="7"/>
      <c r="H82" s="7"/>
      <c r="I82" s="7"/>
      <c r="J82" s="7"/>
      <c r="K82" s="7"/>
    </row>
    <row r="83" spans="2:11" ht="17.5" x14ac:dyDescent="0.25">
      <c r="B83" s="1000" t="s">
        <v>288</v>
      </c>
      <c r="C83" s="1000"/>
      <c r="D83" s="1000"/>
      <c r="E83" s="7"/>
      <c r="F83" s="7"/>
      <c r="G83" s="7"/>
      <c r="H83" s="7"/>
      <c r="I83" s="7"/>
      <c r="J83" s="7"/>
      <c r="K83" s="7"/>
    </row>
    <row r="84" spans="2:11" ht="12.75" customHeight="1" x14ac:dyDescent="0.25">
      <c r="B84" s="775" t="s">
        <v>80</v>
      </c>
      <c r="C84" s="1001" t="s">
        <v>289</v>
      </c>
      <c r="D84" s="1001"/>
      <c r="E84" s="7"/>
      <c r="F84" s="7"/>
      <c r="G84" s="7"/>
      <c r="H84" s="7"/>
      <c r="I84" s="7"/>
      <c r="J84" s="7"/>
      <c r="K84" s="7"/>
    </row>
    <row r="85" spans="2:11" ht="12.75" customHeight="1" x14ac:dyDescent="0.3">
      <c r="B85" s="773">
        <v>1</v>
      </c>
      <c r="C85" s="1002">
        <v>0</v>
      </c>
      <c r="D85" s="1002"/>
      <c r="E85" s="7"/>
      <c r="F85" s="7"/>
      <c r="G85" s="7"/>
      <c r="H85" s="7"/>
      <c r="I85" s="7"/>
      <c r="J85" s="7"/>
      <c r="K85" s="7"/>
    </row>
    <row r="86" spans="2:11" ht="12.75" customHeight="1" x14ac:dyDescent="0.3">
      <c r="B86" s="773">
        <v>2</v>
      </c>
      <c r="C86" s="1002">
        <f>((((75*22*12)/11.6)*5.83)/2)*2</f>
        <v>9951.2068965517246</v>
      </c>
      <c r="D86" s="1002"/>
      <c r="E86" s="7"/>
      <c r="F86" s="7"/>
      <c r="G86" s="7"/>
      <c r="H86" s="7"/>
      <c r="I86" s="7"/>
      <c r="J86" s="7"/>
      <c r="K86" s="7"/>
    </row>
    <row r="87" spans="2:11" ht="12.75" customHeight="1" x14ac:dyDescent="0.3">
      <c r="B87" s="773">
        <v>3</v>
      </c>
      <c r="C87" s="1002">
        <f>(((75*22*12)/11.6)*5.83)*2</f>
        <v>19902.413793103449</v>
      </c>
      <c r="D87" s="1002"/>
      <c r="E87" s="7"/>
      <c r="F87" s="7"/>
      <c r="G87" s="7"/>
      <c r="H87" s="7"/>
      <c r="I87" s="7"/>
      <c r="J87" s="7"/>
      <c r="K87" s="7"/>
    </row>
    <row r="88" spans="2:11" ht="12.75" customHeight="1" x14ac:dyDescent="0.3">
      <c r="B88" s="773">
        <v>4</v>
      </c>
      <c r="C88" s="1002">
        <f t="shared" ref="C88:C109" si="14">(((75*22*12)/11.6)*5.83)*2</f>
        <v>19902.413793103449</v>
      </c>
      <c r="D88" s="1002"/>
      <c r="E88" s="7"/>
      <c r="F88" s="7"/>
      <c r="G88" s="7"/>
      <c r="H88" s="7"/>
      <c r="I88" s="7"/>
      <c r="J88" s="7"/>
      <c r="K88" s="7"/>
    </row>
    <row r="89" spans="2:11" ht="12.75" customHeight="1" x14ac:dyDescent="0.3">
      <c r="B89" s="773">
        <v>5</v>
      </c>
      <c r="C89" s="1002">
        <f t="shared" si="14"/>
        <v>19902.413793103449</v>
      </c>
      <c r="D89" s="1002"/>
      <c r="E89" s="7"/>
      <c r="F89" s="7"/>
      <c r="G89" s="7"/>
      <c r="H89" s="7"/>
      <c r="I89" s="7"/>
      <c r="J89" s="7"/>
      <c r="K89" s="7"/>
    </row>
    <row r="90" spans="2:11" ht="12.75" customHeight="1" x14ac:dyDescent="0.3">
      <c r="B90" s="773">
        <v>6</v>
      </c>
      <c r="C90" s="1002">
        <f t="shared" si="14"/>
        <v>19902.413793103449</v>
      </c>
      <c r="D90" s="1002"/>
      <c r="E90" s="7"/>
      <c r="F90" s="7"/>
      <c r="G90" s="7"/>
      <c r="H90" s="7"/>
      <c r="I90" s="7"/>
      <c r="J90" s="7"/>
      <c r="K90" s="7"/>
    </row>
    <row r="91" spans="2:11" ht="12.75" customHeight="1" x14ac:dyDescent="0.3">
      <c r="B91" s="773">
        <v>7</v>
      </c>
      <c r="C91" s="1002">
        <f t="shared" si="14"/>
        <v>19902.413793103449</v>
      </c>
      <c r="D91" s="1002"/>
      <c r="E91" s="7"/>
      <c r="F91" s="7"/>
      <c r="G91" s="7"/>
      <c r="H91" s="7"/>
      <c r="I91" s="7"/>
      <c r="J91" s="7"/>
      <c r="K91" s="7"/>
    </row>
    <row r="92" spans="2:11" ht="12.75" customHeight="1" x14ac:dyDescent="0.3">
      <c r="B92" s="773">
        <v>8</v>
      </c>
      <c r="C92" s="1002">
        <f t="shared" si="14"/>
        <v>19902.413793103449</v>
      </c>
      <c r="D92" s="1002"/>
      <c r="E92" s="7"/>
      <c r="F92" s="7"/>
      <c r="G92" s="7"/>
      <c r="H92" s="7"/>
      <c r="I92" s="7"/>
      <c r="J92" s="7"/>
      <c r="K92" s="7"/>
    </row>
    <row r="93" spans="2:11" ht="12.75" customHeight="1" x14ac:dyDescent="0.3">
      <c r="B93" s="773">
        <v>9</v>
      </c>
      <c r="C93" s="1002">
        <f t="shared" si="14"/>
        <v>19902.413793103449</v>
      </c>
      <c r="D93" s="1002"/>
      <c r="E93" s="7"/>
      <c r="F93" s="7"/>
      <c r="G93" s="7"/>
      <c r="H93" s="7"/>
      <c r="I93" s="7"/>
      <c r="J93" s="7"/>
      <c r="K93" s="7"/>
    </row>
    <row r="94" spans="2:11" ht="12.75" customHeight="1" x14ac:dyDescent="0.3">
      <c r="B94" s="773">
        <v>10</v>
      </c>
      <c r="C94" s="1002">
        <f t="shared" si="14"/>
        <v>19902.413793103449</v>
      </c>
      <c r="D94" s="1002"/>
      <c r="E94" s="7"/>
      <c r="F94" s="7"/>
      <c r="G94" s="7"/>
      <c r="H94" s="7"/>
      <c r="I94" s="7"/>
      <c r="J94" s="7"/>
      <c r="K94" s="7"/>
    </row>
    <row r="95" spans="2:11" ht="12.75" customHeight="1" x14ac:dyDescent="0.3">
      <c r="B95" s="773">
        <v>11</v>
      </c>
      <c r="C95" s="1002">
        <f t="shared" si="14"/>
        <v>19902.413793103449</v>
      </c>
      <c r="D95" s="1002"/>
      <c r="E95" s="7"/>
      <c r="F95" s="7"/>
      <c r="G95" s="7"/>
      <c r="H95" s="7"/>
      <c r="I95" s="7"/>
      <c r="J95" s="7"/>
      <c r="K95" s="7"/>
    </row>
    <row r="96" spans="2:11" ht="12.75" customHeight="1" x14ac:dyDescent="0.3">
      <c r="B96" s="773">
        <v>12</v>
      </c>
      <c r="C96" s="1002">
        <f t="shared" si="14"/>
        <v>19902.413793103449</v>
      </c>
      <c r="D96" s="1002"/>
      <c r="E96" s="7"/>
      <c r="F96" s="7"/>
      <c r="G96" s="7"/>
      <c r="H96" s="7"/>
      <c r="I96" s="7"/>
      <c r="J96" s="7"/>
      <c r="K96" s="7"/>
    </row>
    <row r="97" spans="2:11" ht="12.75" customHeight="1" x14ac:dyDescent="0.3">
      <c r="B97" s="773">
        <v>13</v>
      </c>
      <c r="C97" s="1002">
        <f t="shared" si="14"/>
        <v>19902.413793103449</v>
      </c>
      <c r="D97" s="1002"/>
      <c r="E97" s="7"/>
      <c r="F97" s="7"/>
      <c r="G97" s="7"/>
      <c r="H97" s="7"/>
      <c r="I97" s="7"/>
      <c r="J97" s="7"/>
      <c r="K97" s="7"/>
    </row>
    <row r="98" spans="2:11" ht="12.75" customHeight="1" x14ac:dyDescent="0.3">
      <c r="B98" s="773">
        <v>14</v>
      </c>
      <c r="C98" s="1002">
        <f t="shared" si="14"/>
        <v>19902.413793103449</v>
      </c>
      <c r="D98" s="1002"/>
      <c r="E98" s="7"/>
      <c r="F98" s="7"/>
      <c r="G98" s="7"/>
      <c r="H98" s="7"/>
      <c r="I98" s="7"/>
      <c r="J98" s="7"/>
      <c r="K98" s="7"/>
    </row>
    <row r="99" spans="2:11" ht="12.75" customHeight="1" x14ac:dyDescent="0.3">
      <c r="B99" s="773">
        <v>15</v>
      </c>
      <c r="C99" s="1002">
        <f t="shared" si="14"/>
        <v>19902.413793103449</v>
      </c>
      <c r="D99" s="1002"/>
      <c r="E99" s="7"/>
      <c r="F99" s="7"/>
      <c r="G99" s="7"/>
      <c r="H99" s="7"/>
      <c r="I99" s="7"/>
      <c r="J99" s="7"/>
      <c r="K99" s="7"/>
    </row>
    <row r="100" spans="2:11" ht="12.75" customHeight="1" x14ac:dyDescent="0.3">
      <c r="B100" s="773">
        <v>16</v>
      </c>
      <c r="C100" s="1002">
        <f t="shared" si="14"/>
        <v>19902.413793103449</v>
      </c>
      <c r="D100" s="1002"/>
      <c r="E100" s="7"/>
      <c r="F100" s="7"/>
      <c r="G100" s="7"/>
      <c r="H100" s="7"/>
      <c r="I100" s="7"/>
      <c r="J100" s="7"/>
      <c r="K100" s="7"/>
    </row>
    <row r="101" spans="2:11" ht="12.75" customHeight="1" x14ac:dyDescent="0.3">
      <c r="B101" s="773">
        <v>17</v>
      </c>
      <c r="C101" s="1002">
        <f t="shared" si="14"/>
        <v>19902.413793103449</v>
      </c>
      <c r="D101" s="1002"/>
      <c r="E101" s="7"/>
      <c r="F101" s="7"/>
      <c r="G101" s="7"/>
      <c r="H101" s="7"/>
      <c r="I101" s="7"/>
      <c r="J101" s="7"/>
      <c r="K101" s="7"/>
    </row>
    <row r="102" spans="2:11" ht="12.75" customHeight="1" x14ac:dyDescent="0.3">
      <c r="B102" s="773">
        <v>18</v>
      </c>
      <c r="C102" s="1002">
        <f t="shared" si="14"/>
        <v>19902.413793103449</v>
      </c>
      <c r="D102" s="1002"/>
      <c r="E102" s="7"/>
      <c r="F102" s="7"/>
      <c r="G102" s="7"/>
      <c r="H102" s="7"/>
      <c r="I102" s="7"/>
      <c r="J102" s="7"/>
      <c r="K102" s="7"/>
    </row>
    <row r="103" spans="2:11" ht="12.75" customHeight="1" x14ac:dyDescent="0.3">
      <c r="B103" s="773">
        <v>19</v>
      </c>
      <c r="C103" s="1002">
        <f t="shared" si="14"/>
        <v>19902.413793103449</v>
      </c>
      <c r="D103" s="1002"/>
      <c r="E103" s="7"/>
      <c r="F103" s="7"/>
      <c r="G103" s="7"/>
      <c r="H103" s="7"/>
      <c r="I103" s="7"/>
      <c r="J103" s="7"/>
      <c r="K103" s="7"/>
    </row>
    <row r="104" spans="2:11" ht="12.75" customHeight="1" x14ac:dyDescent="0.3">
      <c r="B104" s="773">
        <v>20</v>
      </c>
      <c r="C104" s="1002">
        <f t="shared" si="14"/>
        <v>19902.413793103449</v>
      </c>
      <c r="D104" s="1002"/>
      <c r="E104" s="7"/>
      <c r="F104" s="7"/>
      <c r="G104" s="7"/>
      <c r="H104" s="7"/>
      <c r="I104" s="7"/>
      <c r="J104" s="7"/>
      <c r="K104" s="7"/>
    </row>
    <row r="105" spans="2:11" ht="12.75" customHeight="1" x14ac:dyDescent="0.3">
      <c r="B105" s="773">
        <v>21</v>
      </c>
      <c r="C105" s="1002">
        <f t="shared" si="14"/>
        <v>19902.413793103449</v>
      </c>
      <c r="D105" s="1002"/>
      <c r="E105" s="7"/>
      <c r="F105" s="7"/>
      <c r="G105" s="7"/>
      <c r="H105" s="7"/>
      <c r="I105" s="7"/>
      <c r="J105" s="7"/>
      <c r="K105" s="7"/>
    </row>
    <row r="106" spans="2:11" ht="12.75" customHeight="1" x14ac:dyDescent="0.3">
      <c r="B106" s="773">
        <v>22</v>
      </c>
      <c r="C106" s="1002">
        <f t="shared" si="14"/>
        <v>19902.413793103449</v>
      </c>
      <c r="D106" s="1002"/>
      <c r="E106" s="7"/>
      <c r="F106" s="7"/>
      <c r="G106" s="7"/>
      <c r="H106" s="7"/>
      <c r="I106" s="7"/>
      <c r="J106" s="7"/>
      <c r="K106" s="7"/>
    </row>
    <row r="107" spans="2:11" ht="12.75" customHeight="1" x14ac:dyDescent="0.3">
      <c r="B107" s="773">
        <v>23</v>
      </c>
      <c r="C107" s="1002">
        <f t="shared" si="14"/>
        <v>19902.413793103449</v>
      </c>
      <c r="D107" s="1002"/>
      <c r="E107" s="7"/>
      <c r="F107" s="7"/>
      <c r="G107" s="7"/>
      <c r="H107" s="7"/>
      <c r="I107" s="7"/>
      <c r="J107" s="7"/>
      <c r="K107" s="7"/>
    </row>
    <row r="108" spans="2:11" ht="12.75" customHeight="1" x14ac:dyDescent="0.3">
      <c r="B108" s="773">
        <v>24</v>
      </c>
      <c r="C108" s="1002">
        <f t="shared" si="14"/>
        <v>19902.413793103449</v>
      </c>
      <c r="D108" s="1002"/>
      <c r="E108" s="7"/>
      <c r="F108" s="7"/>
      <c r="G108" s="7"/>
      <c r="H108" s="7"/>
      <c r="I108" s="7"/>
      <c r="J108" s="7"/>
      <c r="K108" s="7"/>
    </row>
    <row r="109" spans="2:11" ht="12.75" customHeight="1" x14ac:dyDescent="0.3">
      <c r="B109" s="773">
        <v>25</v>
      </c>
      <c r="C109" s="1002">
        <f t="shared" si="14"/>
        <v>19902.413793103449</v>
      </c>
      <c r="D109" s="1002"/>
      <c r="E109" s="7"/>
      <c r="F109" s="7"/>
      <c r="G109" s="7"/>
      <c r="H109" s="7"/>
      <c r="I109" s="7"/>
      <c r="J109" s="7"/>
      <c r="K109" s="7"/>
    </row>
    <row r="110" spans="2:11" ht="12.75" customHeight="1" x14ac:dyDescent="0.25">
      <c r="B110" s="7"/>
      <c r="C110" s="7"/>
      <c r="D110" s="861">
        <f>C109</f>
        <v>19902.413793103449</v>
      </c>
      <c r="E110" s="7"/>
      <c r="F110" s="7"/>
      <c r="G110" s="7"/>
      <c r="H110" s="7"/>
      <c r="I110" s="7"/>
      <c r="J110" s="7"/>
      <c r="K110" s="7"/>
    </row>
    <row r="111" spans="2:11" ht="12.75" customHeight="1" x14ac:dyDescent="0.25">
      <c r="B111" s="7"/>
      <c r="C111" s="7"/>
      <c r="D111" s="7"/>
      <c r="E111" s="7"/>
      <c r="F111" s="7"/>
      <c r="G111" s="7"/>
      <c r="H111" s="7"/>
      <c r="I111" s="7"/>
      <c r="J111" s="7"/>
      <c r="K111" s="7"/>
    </row>
    <row r="112" spans="2:11" ht="12.75" customHeight="1" x14ac:dyDescent="0.25">
      <c r="B112" s="999" t="s">
        <v>290</v>
      </c>
      <c r="C112" s="999"/>
      <c r="D112" s="999"/>
      <c r="E112" s="999"/>
      <c r="F112" s="999"/>
      <c r="G112" s="999"/>
      <c r="H112" s="999"/>
      <c r="I112" s="999"/>
      <c r="J112" s="999"/>
      <c r="K112" s="999"/>
    </row>
    <row r="113" spans="2:11" ht="12.75" customHeight="1" x14ac:dyDescent="0.25">
      <c r="B113" s="999"/>
      <c r="C113" s="999"/>
      <c r="D113" s="999"/>
      <c r="E113" s="999"/>
      <c r="F113" s="999"/>
      <c r="G113" s="999"/>
      <c r="H113" s="999"/>
      <c r="I113" s="999"/>
      <c r="J113" s="999"/>
      <c r="K113" s="999"/>
    </row>
  </sheetData>
  <mergeCells count="37">
    <mergeCell ref="B77:K78"/>
    <mergeCell ref="B80:K81"/>
    <mergeCell ref="C108:D108"/>
    <mergeCell ref="C109:D109"/>
    <mergeCell ref="B112:K113"/>
    <mergeCell ref="C103:D103"/>
    <mergeCell ref="C104:D104"/>
    <mergeCell ref="C105:D105"/>
    <mergeCell ref="C106:D106"/>
    <mergeCell ref="C107:D107"/>
    <mergeCell ref="C98:D98"/>
    <mergeCell ref="C99:D99"/>
    <mergeCell ref="C100:D100"/>
    <mergeCell ref="C101:D101"/>
    <mergeCell ref="C102:D102"/>
    <mergeCell ref="C93:D93"/>
    <mergeCell ref="C94:D94"/>
    <mergeCell ref="C95:D95"/>
    <mergeCell ref="C96:D96"/>
    <mergeCell ref="C97:D97"/>
    <mergeCell ref="C88:D88"/>
    <mergeCell ref="C89:D89"/>
    <mergeCell ref="C90:D90"/>
    <mergeCell ref="C91:D91"/>
    <mergeCell ref="C92:D92"/>
    <mergeCell ref="B83:D83"/>
    <mergeCell ref="C84:D84"/>
    <mergeCell ref="C85:D85"/>
    <mergeCell ref="C86:D86"/>
    <mergeCell ref="C87:D87"/>
    <mergeCell ref="B2:H2"/>
    <mergeCell ref="B3:H3"/>
    <mergeCell ref="B4:H4"/>
    <mergeCell ref="B7:E7"/>
    <mergeCell ref="B73:K74"/>
    <mergeCell ref="B67:K68"/>
    <mergeCell ref="B70:K71"/>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F3D305A2C3954FBE336BF130FF7DC3" ma:contentTypeVersion="13" ma:contentTypeDescription="Create a new document." ma:contentTypeScope="" ma:versionID="0cd06d47f14675813d86c700b2990f3f">
  <xsd:schema xmlns:xsd="http://www.w3.org/2001/XMLSchema" xmlns:xs="http://www.w3.org/2001/XMLSchema" xmlns:p="http://schemas.microsoft.com/office/2006/metadata/properties" xmlns:ns3="1545fcbf-0b58-420d-a618-c27507283c73" xmlns:ns4="73e3d415-355b-4605-8093-3adf59496aec" targetNamespace="http://schemas.microsoft.com/office/2006/metadata/properties" ma:root="true" ma:fieldsID="88c444fc69cc4c7b537e802490e8fddd" ns3:_="" ns4:_="">
    <xsd:import namespace="1545fcbf-0b58-420d-a618-c27507283c73"/>
    <xsd:import namespace="73e3d415-355b-4605-8093-3adf59496ae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45fcbf-0b58-420d-a618-c27507283c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3e3d415-355b-4605-8093-3adf59496ae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677B19-48CD-41D2-A287-B8A19B517D62}">
  <ds:schemaRefs>
    <ds:schemaRef ds:uri="http://schemas.microsoft.com/sharepoint/v3/contenttype/forms"/>
  </ds:schemaRefs>
</ds:datastoreItem>
</file>

<file path=customXml/itemProps2.xml><?xml version="1.0" encoding="utf-8"?>
<ds:datastoreItem xmlns:ds="http://schemas.openxmlformats.org/officeDocument/2006/customXml" ds:itemID="{5AE36C2F-3FDC-49CB-A88C-2FA4B836EB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45fcbf-0b58-420d-a618-c27507283c73"/>
    <ds:schemaRef ds:uri="73e3d415-355b-4605-8093-3adf59496a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6CF705-EECE-4462-8D79-9D3150FA86C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22</vt:i4>
      </vt:variant>
      <vt:variant>
        <vt:lpstr>Intervalos Nomeados</vt:lpstr>
      </vt:variant>
      <vt:variant>
        <vt:i4>3</vt:i4>
      </vt:variant>
    </vt:vector>
  </HeadingPairs>
  <TitlesOfParts>
    <vt:vector size="25" baseType="lpstr">
      <vt:lpstr>Metodologia</vt:lpstr>
      <vt:lpstr>DW</vt:lpstr>
      <vt:lpstr>Anexo II - Carga-demanda</vt:lpstr>
      <vt:lpstr>Memória-custo MO</vt:lpstr>
      <vt:lpstr>Memoria-equipamentoXfuncionario</vt:lpstr>
      <vt:lpstr>Memória-m²_trei_estaç_tel_agua</vt:lpstr>
      <vt:lpstr>Memória-energia elétrica</vt:lpstr>
      <vt:lpstr>Memória-manutenção</vt:lpstr>
      <vt:lpstr>Memória-combustível</vt:lpstr>
      <vt:lpstr>Memória-IPTU ITR</vt:lpstr>
      <vt:lpstr>Memória-vig_limp_consul_OUTROS</vt:lpstr>
      <vt:lpstr>Memória_custos e despesas</vt:lpstr>
      <vt:lpstr>Anexo IV - ano 1 a 10 - inicial</vt:lpstr>
      <vt:lpstr>Anexo IV - ano 11 a 15</vt:lpstr>
      <vt:lpstr>Anexo IV - ano 16 a 25</vt:lpstr>
      <vt:lpstr>Anexo V - ano 1 a 10 - inicial</vt:lpstr>
      <vt:lpstr>Anexo V - ano 11 a 15</vt:lpstr>
      <vt:lpstr>Anexo V - ano 16 a 25</vt:lpstr>
      <vt:lpstr>Anexo VI - custos e despesas</vt:lpstr>
      <vt:lpstr>Anexo VII - fluxo de caixa</vt:lpstr>
      <vt:lpstr>Anexo VIII - tarifas</vt:lpstr>
      <vt:lpstr>comparativo tarifas</vt:lpstr>
      <vt:lpstr>Metodologia!__DdeLink__32763_3596704383</vt:lpstr>
      <vt:lpstr>Metodologia!_ftnref1</vt:lpstr>
      <vt:lpstr>Excel_BuiltIn__FilterDatabase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Jorge Alfredo da Rosa Missaggia</dc:creator>
  <cp:keywords/>
  <dc:description/>
  <cp:lastModifiedBy>Iris Marinho dos Reis</cp:lastModifiedBy>
  <cp:revision>255</cp:revision>
  <cp:lastPrinted>2025-03-01T14:47:48Z</cp:lastPrinted>
  <dcterms:created xsi:type="dcterms:W3CDTF">2017-09-15T19:44:38Z</dcterms:created>
  <dcterms:modified xsi:type="dcterms:W3CDTF">2025-03-01T14:48:28Z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0x0101008CF3D305A2C3954FBE336BF130FF7DC3</vt:lpwstr>
  </property>
</Properties>
</file>